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digby\Desktop\"/>
    </mc:Choice>
  </mc:AlternateContent>
  <bookViews>
    <workbookView xWindow="0" yWindow="0" windowWidth="28800" windowHeight="12210"/>
  </bookViews>
  <sheets>
    <sheet name="Top ups" sheetId="1" r:id="rId1"/>
    <sheet name="EP + PP" sheetId="2" r:id="rId2"/>
  </sheets>
  <definedNames>
    <definedName name="Apr">'EP + PP'!$C$4:$F$7</definedName>
    <definedName name="Aug">'EP + PP'!$C$24:$F$27</definedName>
    <definedName name="Dec">'EP + PP'!#REF!</definedName>
    <definedName name="EP">'EP + PP'!$L$4:$O$7</definedName>
    <definedName name="EPtwo">'EP + PP'!#REF!</definedName>
    <definedName name="Feb">'EP + PP'!#REF!</definedName>
    <definedName name="Jan">'EP + PP'!#REF!</definedName>
    <definedName name="Jul">'EP + PP'!$C$19:$F$22</definedName>
    <definedName name="Jun">'EP + PP'!$C$14:$F$17</definedName>
    <definedName name="Mar">'EP + PP'!#REF!</definedName>
    <definedName name="May">'EP + PP'!$C$9:$F$12</definedName>
    <definedName name="Nov">'EP + PP'!$C$39:$F$42</definedName>
    <definedName name="Oct">'EP + PP'!$C$34:$F$37</definedName>
    <definedName name="Sep">'EP + PP'!$C$29:$F$32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I13" i="1" s="1"/>
  <c r="I5" i="1"/>
  <c r="E10" i="1"/>
  <c r="E3" i="1"/>
  <c r="I8" i="1" l="1"/>
  <c r="E9" i="1"/>
  <c r="N11" i="2"/>
  <c r="N12" i="2"/>
  <c r="N10" i="2"/>
  <c r="L10" i="2"/>
  <c r="M9" i="2" s="1"/>
  <c r="L11" i="2"/>
  <c r="M10" i="2" s="1"/>
  <c r="L12" i="2"/>
  <c r="M11" i="2" s="1"/>
  <c r="O5" i="2"/>
  <c r="I4" i="1" l="1"/>
  <c r="I3" i="1"/>
  <c r="E7" i="1"/>
  <c r="E6" i="1"/>
  <c r="E5" i="1"/>
  <c r="O7" i="2"/>
  <c r="I9" i="1" s="1"/>
  <c r="O6" i="2"/>
  <c r="I10" i="1" s="1"/>
  <c r="F41" i="2"/>
  <c r="F40" i="2"/>
  <c r="F39" i="2"/>
  <c r="F36" i="2"/>
  <c r="F35" i="2"/>
  <c r="F34" i="2"/>
  <c r="F31" i="2"/>
  <c r="E8" i="1" s="1"/>
  <c r="F30" i="2"/>
  <c r="F29" i="2"/>
  <c r="F26" i="2"/>
  <c r="F25" i="2"/>
  <c r="F24" i="2"/>
  <c r="F21" i="2"/>
  <c r="F20" i="2"/>
  <c r="F19" i="2"/>
  <c r="F16" i="2"/>
  <c r="F15" i="2"/>
  <c r="F14" i="2"/>
  <c r="F11" i="2"/>
  <c r="E4" i="1" s="1"/>
  <c r="F10" i="2"/>
  <c r="F9" i="2"/>
  <c r="F6" i="2"/>
  <c r="F5" i="2"/>
  <c r="F4" i="2"/>
  <c r="E11" i="1" l="1"/>
  <c r="I7" i="1"/>
  <c r="I6" i="1"/>
  <c r="C12" i="1"/>
  <c r="I11" i="1" l="1"/>
  <c r="I16" i="1" s="1"/>
  <c r="H17" i="1" s="1"/>
  <c r="F10" i="1"/>
  <c r="F9" i="1"/>
  <c r="F3" i="1"/>
  <c r="F5" i="1"/>
  <c r="F4" i="1"/>
  <c r="F8" i="1"/>
  <c r="F6" i="1"/>
  <c r="F7" i="1"/>
  <c r="F11" i="1" l="1"/>
  <c r="F16" i="1" s="1"/>
  <c r="E17" i="1" s="1"/>
</calcChain>
</file>

<file path=xl/sharedStrings.xml><?xml version="1.0" encoding="utf-8"?>
<sst xmlns="http://schemas.openxmlformats.org/spreadsheetml/2006/main" count="60" uniqueCount="39">
  <si>
    <t>Month</t>
  </si>
  <si>
    <t>Items</t>
  </si>
  <si>
    <t>Total</t>
  </si>
  <si>
    <t>This spreadsheet is designed as an aid to calculating top-up payments however responsibility for such calculations ultimately falls with contractors.  However, if you believe further improvements/changes  could be useful, please email info@psnc.org.uk</t>
  </si>
  <si>
    <t>Lower Items</t>
  </si>
  <si>
    <t>Upper Items</t>
  </si>
  <si>
    <t>Payment</t>
  </si>
  <si>
    <t>Monthly Payment</t>
  </si>
  <si>
    <t>Months Applicable for</t>
  </si>
  <si>
    <t>+</t>
  </si>
  <si>
    <t>per item</t>
  </si>
  <si>
    <t>Rate for months</t>
  </si>
  <si>
    <t>Establishment Payments Apr-16 to Sep-16</t>
  </si>
  <si>
    <t>Oct</t>
  </si>
  <si>
    <t>Nov</t>
  </si>
  <si>
    <t>Apr</t>
  </si>
  <si>
    <t>May</t>
  </si>
  <si>
    <t>Jun</t>
  </si>
  <si>
    <t>Jul</t>
  </si>
  <si>
    <t>Aug</t>
  </si>
  <si>
    <t>Sep</t>
  </si>
  <si>
    <t>Practice Payments Apr 16 to Nov-16</t>
  </si>
  <si>
    <t>Apr to Nov</t>
  </si>
  <si>
    <t>(per month)</t>
  </si>
  <si>
    <t>(total items)</t>
  </si>
  <si>
    <t>8 month Avg</t>
  </si>
  <si>
    <t>Max EP available</t>
  </si>
  <si>
    <t>EP Top-up:</t>
  </si>
  <si>
    <t xml:space="preserve">EP Top-up  =  Max. EP - Paid EP </t>
  </si>
  <si>
    <t>Paid EP</t>
  </si>
  <si>
    <t>PP based on 8 month av. Items</t>
  </si>
  <si>
    <t>Paid PP</t>
  </si>
  <si>
    <t xml:space="preserve">PP Top up = Av. PP - Paid PP </t>
  </si>
  <si>
    <t>PP Top-up:</t>
  </si>
  <si>
    <t>(based on total items)</t>
  </si>
  <si>
    <t>The dark orange cells refer to the Practice Payments that would be received if calculated based on the average monthly items.</t>
  </si>
  <si>
    <t xml:space="preserve">The totals, automatically calculated in the light orange cells, should match the Practice Payments and Establishment Payments in your schedule of payments.  </t>
  </si>
  <si>
    <t>Type the actual number of items into blue cells. This can be determined from your schedule of payments.</t>
  </si>
  <si>
    <t>The maximum Establishment Payment available depends on the total items for April to November; the table can be seen on the next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</si>
</sst>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_-* #,##0_-;\-* #,##0_-;_-* &quot;-&quot;??_-;_-@_-"/>
    <numFmt numFmtId="166" formatCode="_-&quot;£&quot;* #,##0_-;\-&quot;£&quot;* #,##0_-;_-&quot;£&quot;* &quot;-&quot;??_-;_-@_-"/>
    <numFmt numFmtId="167" formatCode="&quot;£&quot;#,##0"/>
    <numFmt numFmtId="168" formatCode="&quot;£&quot;#,##0.00"/>
    <numFmt numFmtId="169" formatCode="&quot;£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9" tint="-0.499984740745262"/>
      <name val="Calibri"/>
      <family val="2"/>
    </font>
    <font>
      <sz val="9"/>
      <color theme="5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9ADDD"/>
        <bgColor indexed="64"/>
      </patternFill>
    </fill>
  </fills>
  <borders count="42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06918546098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0691854609822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9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6" borderId="0" xfId="0" applyFill="1"/>
    <xf numFmtId="0" fontId="0" fillId="6" borderId="0" xfId="0" applyFill="1" applyBorder="1"/>
    <xf numFmtId="0" fontId="5" fillId="6" borderId="0" xfId="0" applyFont="1" applyFill="1"/>
    <xf numFmtId="0" fontId="2" fillId="5" borderId="16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4" fillId="6" borderId="0" xfId="2" applyFill="1"/>
    <xf numFmtId="0" fontId="2" fillId="6" borderId="0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/>
    <xf numFmtId="0" fontId="2" fillId="5" borderId="24" xfId="0" applyFont="1" applyFill="1" applyBorder="1" applyAlignment="1">
      <alignment horizontal="right" wrapText="1"/>
    </xf>
    <xf numFmtId="0" fontId="0" fillId="6" borderId="0" xfId="0" applyFill="1" applyAlignment="1"/>
    <xf numFmtId="0" fontId="9" fillId="6" borderId="0" xfId="0" applyFont="1" applyFill="1" applyBorder="1" applyAlignment="1">
      <alignment vertical="center" wrapText="1"/>
    </xf>
    <xf numFmtId="0" fontId="0" fillId="6" borderId="25" xfId="0" applyFill="1" applyBorder="1"/>
    <xf numFmtId="0" fontId="0" fillId="6" borderId="27" xfId="0" applyFill="1" applyBorder="1"/>
    <xf numFmtId="0" fontId="0" fillId="6" borderId="29" xfId="0" applyFill="1" applyBorder="1"/>
    <xf numFmtId="0" fontId="0" fillId="6" borderId="28" xfId="0" applyFill="1" applyBorder="1"/>
    <xf numFmtId="0" fontId="0" fillId="6" borderId="30" xfId="0" applyFill="1" applyBorder="1"/>
    <xf numFmtId="0" fontId="0" fillId="6" borderId="32" xfId="0" applyFill="1" applyBorder="1"/>
    <xf numFmtId="0" fontId="0" fillId="6" borderId="31" xfId="0" applyFill="1" applyBorder="1"/>
    <xf numFmtId="0" fontId="0" fillId="6" borderId="26" xfId="0" applyFill="1" applyBorder="1"/>
    <xf numFmtId="0" fontId="0" fillId="6" borderId="0" xfId="0" applyFill="1" applyBorder="1" applyAlignment="1">
      <alignment horizontal="right" wrapText="1"/>
    </xf>
    <xf numFmtId="0" fontId="5" fillId="6" borderId="28" xfId="0" applyFont="1" applyFill="1" applyBorder="1"/>
    <xf numFmtId="0" fontId="3" fillId="6" borderId="26" xfId="0" applyFont="1" applyFill="1" applyBorder="1"/>
    <xf numFmtId="0" fontId="0" fillId="6" borderId="0" xfId="0" applyFill="1" applyBorder="1" applyAlignment="1">
      <alignment horizontal="right"/>
    </xf>
    <xf numFmtId="0" fontId="2" fillId="5" borderId="33" xfId="0" applyFont="1" applyFill="1" applyBorder="1" applyAlignment="1">
      <alignment horizontal="center"/>
    </xf>
    <xf numFmtId="167" fontId="2" fillId="5" borderId="10" xfId="0" applyNumberFormat="1" applyFont="1" applyFill="1" applyBorder="1" applyProtection="1">
      <protection locked="0"/>
    </xf>
    <xf numFmtId="167" fontId="2" fillId="5" borderId="34" xfId="0" applyNumberFormat="1" applyFont="1" applyFill="1" applyBorder="1" applyProtection="1">
      <protection locked="0"/>
    </xf>
    <xf numFmtId="167" fontId="2" fillId="5" borderId="0" xfId="0" applyNumberFormat="1" applyFont="1" applyFill="1" applyBorder="1" applyProtection="1">
      <protection locked="0"/>
    </xf>
    <xf numFmtId="168" fontId="2" fillId="5" borderId="13" xfId="0" applyNumberFormat="1" applyFont="1" applyFill="1" applyBorder="1" applyProtection="1">
      <protection locked="0"/>
    </xf>
    <xf numFmtId="169" fontId="2" fillId="5" borderId="14" xfId="0" applyNumberFormat="1" applyFont="1" applyFill="1" applyBorder="1" applyProtection="1">
      <protection locked="0"/>
    </xf>
    <xf numFmtId="168" fontId="2" fillId="5" borderId="11" xfId="0" applyNumberFormat="1" applyFont="1" applyFill="1" applyBorder="1" applyProtection="1">
      <protection locked="0"/>
    </xf>
    <xf numFmtId="167" fontId="2" fillId="5" borderId="19" xfId="0" applyNumberFormat="1" applyFont="1" applyFill="1" applyBorder="1" applyProtection="1">
      <protection locked="0"/>
    </xf>
    <xf numFmtId="167" fontId="2" fillId="5" borderId="20" xfId="0" applyNumberFormat="1" applyFont="1" applyFill="1" applyBorder="1" applyProtection="1">
      <protection locked="0"/>
    </xf>
    <xf numFmtId="167" fontId="2" fillId="5" borderId="21" xfId="0" applyNumberFormat="1" applyFont="1" applyFill="1" applyBorder="1" applyProtection="1">
      <protection locked="0"/>
    </xf>
    <xf numFmtId="0" fontId="2" fillId="5" borderId="3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 wrapText="1"/>
    </xf>
    <xf numFmtId="0" fontId="0" fillId="5" borderId="27" xfId="0" applyFill="1" applyBorder="1"/>
    <xf numFmtId="17" fontId="0" fillId="5" borderId="28" xfId="0" applyNumberFormat="1" applyFill="1" applyBorder="1" applyAlignment="1">
      <alignment horizontal="right"/>
    </xf>
    <xf numFmtId="17" fontId="3" fillId="5" borderId="28" xfId="0" applyNumberFormat="1" applyFont="1" applyFill="1" applyBorder="1" applyAlignment="1">
      <alignment horizontal="right" wrapText="1"/>
    </xf>
    <xf numFmtId="17" fontId="0" fillId="5" borderId="30" xfId="0" applyNumberFormat="1" applyFill="1" applyBorder="1" applyAlignment="1">
      <alignment horizontal="right"/>
    </xf>
    <xf numFmtId="166" fontId="0" fillId="5" borderId="0" xfId="1" applyNumberFormat="1" applyFont="1" applyFill="1" applyBorder="1"/>
    <xf numFmtId="0" fontId="0" fillId="5" borderId="29" xfId="0" applyFill="1" applyBorder="1"/>
    <xf numFmtId="165" fontId="7" fillId="5" borderId="0" xfId="3" applyNumberFormat="1" applyFont="1" applyFill="1" applyBorder="1" applyProtection="1">
      <protection locked="0"/>
    </xf>
    <xf numFmtId="0" fontId="0" fillId="5" borderId="32" xfId="0" applyFill="1" applyBorder="1"/>
    <xf numFmtId="166" fontId="0" fillId="5" borderId="31" xfId="1" applyNumberFormat="1" applyFont="1" applyFill="1" applyBorder="1"/>
    <xf numFmtId="44" fontId="0" fillId="5" borderId="31" xfId="1" applyFont="1" applyFill="1" applyBorder="1"/>
    <xf numFmtId="165" fontId="7" fillId="5" borderId="31" xfId="3" applyNumberFormat="1" applyFont="1" applyFill="1" applyBorder="1" applyProtection="1">
      <protection locked="0"/>
    </xf>
    <xf numFmtId="17" fontId="0" fillId="6" borderId="28" xfId="0" applyNumberFormat="1" applyFill="1" applyBorder="1" applyAlignment="1">
      <alignment horizontal="right"/>
    </xf>
    <xf numFmtId="0" fontId="10" fillId="6" borderId="28" xfId="0" applyFont="1" applyFill="1" applyBorder="1" applyAlignment="1">
      <alignment horizontal="right"/>
    </xf>
    <xf numFmtId="165" fontId="2" fillId="5" borderId="9" xfId="3" applyNumberFormat="1" applyFont="1" applyFill="1" applyBorder="1" applyProtection="1">
      <protection locked="0"/>
    </xf>
    <xf numFmtId="165" fontId="2" fillId="5" borderId="10" xfId="3" applyNumberFormat="1" applyFont="1" applyFill="1" applyBorder="1" applyProtection="1">
      <protection locked="0"/>
    </xf>
    <xf numFmtId="165" fontId="2" fillId="5" borderId="12" xfId="3" applyNumberFormat="1" applyFont="1" applyFill="1" applyBorder="1" applyProtection="1">
      <protection locked="0"/>
    </xf>
    <xf numFmtId="165" fontId="2" fillId="5" borderId="0" xfId="3" applyNumberFormat="1" applyFont="1" applyFill="1" applyBorder="1" applyProtection="1">
      <protection locked="0"/>
    </xf>
    <xf numFmtId="165" fontId="2" fillId="5" borderId="15" xfId="3" applyNumberFormat="1" applyFont="1" applyFill="1" applyBorder="1" applyProtection="1">
      <protection locked="0"/>
    </xf>
    <xf numFmtId="165" fontId="2" fillId="5" borderId="16" xfId="3" applyNumberFormat="1" applyFont="1" applyFill="1" applyBorder="1" applyProtection="1">
      <protection locked="0"/>
    </xf>
    <xf numFmtId="165" fontId="2" fillId="6" borderId="0" xfId="3" applyNumberFormat="1" applyFont="1" applyFill="1" applyBorder="1" applyProtection="1">
      <protection locked="0"/>
    </xf>
    <xf numFmtId="165" fontId="2" fillId="5" borderId="22" xfId="3" applyNumberFormat="1" applyFont="1" applyFill="1" applyBorder="1"/>
    <xf numFmtId="165" fontId="2" fillId="5" borderId="23" xfId="3" applyNumberFormat="1" applyFont="1" applyFill="1" applyBorder="1"/>
    <xf numFmtId="165" fontId="2" fillId="5" borderId="18" xfId="3" applyNumberFormat="1" applyFont="1" applyFill="1" applyBorder="1" applyProtection="1">
      <protection locked="0"/>
    </xf>
    <xf numFmtId="165" fontId="2" fillId="5" borderId="20" xfId="3" applyNumberFormat="1" applyFont="1" applyFill="1" applyBorder="1" applyProtection="1">
      <protection locked="0"/>
    </xf>
    <xf numFmtId="0" fontId="0" fillId="6" borderId="28" xfId="0" applyFill="1" applyBorder="1" applyAlignment="1">
      <alignment horizontal="right"/>
    </xf>
    <xf numFmtId="0" fontId="0" fillId="6" borderId="0" xfId="0" applyFill="1" applyBorder="1" applyAlignment="1">
      <alignment horizontal="center" wrapText="1"/>
    </xf>
    <xf numFmtId="165" fontId="0" fillId="6" borderId="0" xfId="3" applyNumberFormat="1" applyFont="1" applyFill="1" applyBorder="1"/>
    <xf numFmtId="0" fontId="11" fillId="6" borderId="28" xfId="0" applyFont="1" applyFill="1" applyBorder="1" applyAlignment="1">
      <alignment horizontal="right"/>
    </xf>
    <xf numFmtId="0" fontId="0" fillId="5" borderId="0" xfId="0" applyFill="1"/>
    <xf numFmtId="165" fontId="0" fillId="5" borderId="0" xfId="3" applyNumberFormat="1" applyFont="1" applyFill="1" applyBorder="1" applyAlignment="1">
      <alignment vertical="center"/>
    </xf>
    <xf numFmtId="166" fontId="12" fillId="5" borderId="0" xfId="1" applyNumberFormat="1" applyFont="1" applyFill="1" applyBorder="1"/>
    <xf numFmtId="166" fontId="12" fillId="5" borderId="0" xfId="1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13" fillId="5" borderId="0" xfId="1" applyNumberFormat="1" applyFont="1" applyFill="1" applyBorder="1" applyAlignment="1">
      <alignment horizontal="right" vertical="top"/>
    </xf>
    <xf numFmtId="0" fontId="8" fillId="7" borderId="4" xfId="2" applyFont="1" applyFill="1" applyBorder="1" applyAlignment="1">
      <alignment vertical="center" wrapText="1"/>
    </xf>
    <xf numFmtId="0" fontId="8" fillId="7" borderId="6" xfId="2" applyFont="1" applyFill="1" applyBorder="1" applyAlignment="1">
      <alignment vertical="center" wrapText="1"/>
    </xf>
    <xf numFmtId="0" fontId="8" fillId="7" borderId="5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7" fontId="5" fillId="6" borderId="28" xfId="0" applyNumberFormat="1" applyFont="1" applyFill="1" applyBorder="1" applyAlignment="1">
      <alignment horizontal="right" wrapText="1"/>
    </xf>
    <xf numFmtId="0" fontId="0" fillId="6" borderId="0" xfId="0" applyFill="1" applyBorder="1" applyAlignment="1">
      <alignment horizontal="center"/>
    </xf>
    <xf numFmtId="0" fontId="2" fillId="6" borderId="31" xfId="0" applyFont="1" applyFill="1" applyBorder="1" applyProtection="1">
      <protection locked="0"/>
    </xf>
    <xf numFmtId="0" fontId="14" fillId="4" borderId="38" xfId="0" applyFont="1" applyFill="1" applyBorder="1" applyAlignment="1">
      <alignment horizontal="right" vertical="center"/>
    </xf>
    <xf numFmtId="17" fontId="3" fillId="5" borderId="28" xfId="0" applyNumberFormat="1" applyFont="1" applyFill="1" applyBorder="1" applyAlignment="1">
      <alignment horizontal="right" vertical="center"/>
    </xf>
    <xf numFmtId="165" fontId="5" fillId="5" borderId="0" xfId="3" applyNumberFormat="1" applyFont="1" applyFill="1" applyBorder="1" applyAlignment="1" applyProtection="1">
      <alignment vertical="center"/>
      <protection locked="0"/>
    </xf>
    <xf numFmtId="166" fontId="0" fillId="5" borderId="0" xfId="1" applyNumberFormat="1" applyFont="1" applyFill="1" applyBorder="1" applyAlignment="1">
      <alignment vertical="center"/>
    </xf>
    <xf numFmtId="165" fontId="5" fillId="9" borderId="40" xfId="3" applyNumberFormat="1" applyFont="1" applyFill="1" applyBorder="1" applyAlignment="1" applyProtection="1">
      <alignment vertical="center"/>
      <protection locked="0"/>
    </xf>
    <xf numFmtId="166" fontId="0" fillId="2" borderId="36" xfId="1" applyNumberFormat="1" applyFont="1" applyFill="1" applyBorder="1" applyAlignment="1">
      <alignment vertical="center"/>
    </xf>
    <xf numFmtId="166" fontId="0" fillId="2" borderId="8" xfId="1" applyNumberFormat="1" applyFont="1" applyFill="1" applyBorder="1" applyAlignment="1">
      <alignment vertical="center"/>
    </xf>
    <xf numFmtId="166" fontId="0" fillId="8" borderId="8" xfId="1" applyNumberFormat="1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6" borderId="0" xfId="0" applyFill="1" applyAlignment="1">
      <alignment vertical="center"/>
    </xf>
    <xf numFmtId="165" fontId="5" fillId="5" borderId="17" xfId="3" applyNumberFormat="1" applyFont="1" applyFill="1" applyBorder="1" applyAlignment="1" applyProtection="1">
      <alignment vertical="center"/>
      <protection locked="0"/>
    </xf>
    <xf numFmtId="166" fontId="0" fillId="8" borderId="8" xfId="1" applyNumberFormat="1" applyFont="1" applyFill="1" applyBorder="1" applyAlignment="1">
      <alignment horizontal="center" vertical="center"/>
    </xf>
    <xf numFmtId="165" fontId="5" fillId="10" borderId="40" xfId="3" applyNumberFormat="1" applyFont="1" applyFill="1" applyBorder="1" applyAlignment="1" applyProtection="1">
      <alignment vertical="center"/>
      <protection locked="0"/>
    </xf>
    <xf numFmtId="17" fontId="0" fillId="5" borderId="28" xfId="0" applyNumberFormat="1" applyFill="1" applyBorder="1" applyAlignment="1">
      <alignment horizontal="right" vertical="center"/>
    </xf>
    <xf numFmtId="165" fontId="7" fillId="3" borderId="1" xfId="3" applyNumberFormat="1" applyFont="1" applyFill="1" applyBorder="1" applyAlignment="1" applyProtection="1">
      <alignment vertical="center"/>
      <protection locked="0"/>
    </xf>
    <xf numFmtId="165" fontId="7" fillId="5" borderId="17" xfId="3" applyNumberFormat="1" applyFont="1" applyFill="1" applyBorder="1" applyAlignment="1" applyProtection="1">
      <alignment vertical="center"/>
      <protection locked="0"/>
    </xf>
    <xf numFmtId="166" fontId="0" fillId="2" borderId="7" xfId="1" applyNumberFormat="1" applyFont="1" applyFill="1" applyBorder="1" applyAlignment="1">
      <alignment vertical="center"/>
    </xf>
    <xf numFmtId="166" fontId="0" fillId="8" borderId="7" xfId="1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165" fontId="7" fillId="3" borderId="2" xfId="3" applyNumberFormat="1" applyFont="1" applyFill="1" applyBorder="1" applyAlignment="1" applyProtection="1">
      <alignment vertical="center"/>
      <protection locked="0"/>
    </xf>
    <xf numFmtId="166" fontId="0" fillId="2" borderId="37" xfId="1" applyNumberFormat="1" applyFont="1" applyFill="1" applyBorder="1" applyAlignment="1">
      <alignment vertical="center"/>
    </xf>
    <xf numFmtId="166" fontId="0" fillId="8" borderId="37" xfId="1" applyNumberFormat="1" applyFont="1" applyFill="1" applyBorder="1" applyAlignment="1">
      <alignment vertical="center"/>
    </xf>
    <xf numFmtId="165" fontId="7" fillId="3" borderId="3" xfId="3" applyNumberFormat="1" applyFont="1" applyFill="1" applyBorder="1" applyAlignment="1" applyProtection="1">
      <alignment vertical="center"/>
      <protection locked="0"/>
    </xf>
    <xf numFmtId="0" fontId="2" fillId="5" borderId="22" xfId="3" applyNumberFormat="1" applyFont="1" applyFill="1" applyBorder="1"/>
    <xf numFmtId="166" fontId="0" fillId="4" borderId="39" xfId="1" applyNumberFormat="1" applyFont="1" applyFill="1" applyBorder="1" applyAlignment="1">
      <alignment horizontal="center" vertical="center"/>
    </xf>
    <xf numFmtId="166" fontId="15" fillId="5" borderId="41" xfId="1" applyNumberFormat="1" applyFont="1" applyFill="1" applyBorder="1" applyAlignment="1">
      <alignment horizontal="center" wrapText="1"/>
    </xf>
    <xf numFmtId="166" fontId="0" fillId="8" borderId="7" xfId="1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vertical="center" wrapText="1"/>
    </xf>
    <xf numFmtId="0" fontId="9" fillId="8" borderId="37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top" wrapText="1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9ADDD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workbookViewId="0"/>
  </sheetViews>
  <sheetFormatPr defaultRowHeight="15" x14ac:dyDescent="0.25"/>
  <cols>
    <col min="1" max="1" width="4.7109375" style="1" customWidth="1"/>
    <col min="2" max="2" width="13.85546875" style="1" customWidth="1"/>
    <col min="3" max="3" width="14.85546875" style="1" customWidth="1"/>
    <col min="4" max="4" width="4.85546875" style="1" customWidth="1"/>
    <col min="5" max="5" width="14.28515625" style="1" customWidth="1"/>
    <col min="6" max="6" width="15.42578125" style="1" customWidth="1"/>
    <col min="7" max="7" width="7.140625" style="1" customWidth="1"/>
    <col min="8" max="8" width="14.140625" style="1" customWidth="1"/>
    <col min="9" max="9" width="16.7109375" style="1" customWidth="1"/>
    <col min="10" max="11" width="9.140625" style="1"/>
    <col min="12" max="12" width="64.85546875" style="1" customWidth="1"/>
    <col min="13" max="16384" width="9.140625" style="1"/>
  </cols>
  <sheetData>
    <row r="1" spans="2:13" ht="24" customHeight="1" thickBot="1" x14ac:dyDescent="0.3"/>
    <row r="2" spans="2:13" ht="48.75" customHeight="1" thickBot="1" x14ac:dyDescent="0.3">
      <c r="B2" s="35" t="s">
        <v>0</v>
      </c>
      <c r="C2" s="36" t="s">
        <v>1</v>
      </c>
      <c r="D2" s="36"/>
      <c r="E2" s="36" t="s">
        <v>31</v>
      </c>
      <c r="F2" s="37" t="s">
        <v>30</v>
      </c>
      <c r="G2" s="37"/>
      <c r="H2" s="36"/>
      <c r="I2" s="36" t="s">
        <v>29</v>
      </c>
      <c r="J2" s="38"/>
    </row>
    <row r="3" spans="2:13" ht="16.5" customHeight="1" x14ac:dyDescent="0.25">
      <c r="B3" s="95">
        <v>42461</v>
      </c>
      <c r="C3" s="96"/>
      <c r="D3" s="97"/>
      <c r="E3" s="98">
        <f>IFERROR(IF(VLOOKUP(C3,'EP + PP'!$C$4:$F$7,4,1)='EP + PP'!F7,'Top ups'!C3*'EP + PP'!F7,VLOOKUP(C3,'EP + PP'!$C$4:$F$7,4,1)),0)</f>
        <v>0</v>
      </c>
      <c r="F3" s="99">
        <f>IFERROR(IF(VLOOKUP($C$12,Apr,4,1)='EP + PP'!F7,$C$12*'EP + PP'!F7,VLOOKUP(C12,Apr,4,1)),0)</f>
        <v>0</v>
      </c>
      <c r="G3" s="85"/>
      <c r="H3" s="100"/>
      <c r="I3" s="98">
        <f t="shared" ref="I3:I10" si="0">IFERROR(VLOOKUP(C3,EP,4,1),0)</f>
        <v>0</v>
      </c>
      <c r="J3" s="43"/>
      <c r="L3" s="75" t="s">
        <v>37</v>
      </c>
    </row>
    <row r="4" spans="2:13" ht="16.5" customHeight="1" thickBot="1" x14ac:dyDescent="0.3">
      <c r="B4" s="95">
        <v>42491</v>
      </c>
      <c r="C4" s="101"/>
      <c r="D4" s="97"/>
      <c r="E4" s="102">
        <f>IFERROR(IF(VLOOKUP(C4,'EP + PP'!$C$9:$F$12,4,1)='EP + PP'!F12,'Top ups'!C4*'EP + PP'!F12,VLOOKUP(C4,'EP + PP'!$C$9:$F$12,4,1)),0)</f>
        <v>0</v>
      </c>
      <c r="F4" s="103">
        <f>IFERROR(IF(VLOOKUP($C$12,May,4,1)='EP + PP'!F12,$C$12*'EP + PP'!F12,VLOOKUP(C12,May,4,1)),0)</f>
        <v>0</v>
      </c>
      <c r="G4" s="85"/>
      <c r="H4" s="100"/>
      <c r="I4" s="102">
        <f t="shared" si="0"/>
        <v>0</v>
      </c>
      <c r="J4" s="43"/>
      <c r="L4" s="76"/>
    </row>
    <row r="5" spans="2:13" ht="16.5" customHeight="1" thickBot="1" x14ac:dyDescent="0.3">
      <c r="B5" s="95">
        <v>42522</v>
      </c>
      <c r="C5" s="101"/>
      <c r="D5" s="97"/>
      <c r="E5" s="102">
        <f>IFERROR(IF(VLOOKUP(C5,Jun,4,1)='EP + PP'!F17,C5*'EP + PP'!F17,VLOOKUP(C5,Jun,4,1)),0)</f>
        <v>0</v>
      </c>
      <c r="F5" s="103">
        <f>IFERROR(IF(VLOOKUP($C$12,Jun,4,1)='EP + PP'!F17,$C$12*'EP + PP'!F17,VLOOKUP(C12,Jun,4,1)),0)</f>
        <v>0</v>
      </c>
      <c r="G5" s="85"/>
      <c r="H5" s="100"/>
      <c r="I5" s="102">
        <f>IFERROR(VLOOKUP(C5,EP,4,1),0)</f>
        <v>0</v>
      </c>
      <c r="J5" s="43"/>
      <c r="L5" s="10"/>
    </row>
    <row r="6" spans="2:13" ht="16.5" customHeight="1" x14ac:dyDescent="0.25">
      <c r="B6" s="95">
        <v>42552</v>
      </c>
      <c r="C6" s="101"/>
      <c r="D6" s="97"/>
      <c r="E6" s="102">
        <f>IFERROR(IF(VLOOKUP(C6,Jul,4,1)='EP + PP'!F22,C6*'EP + PP'!F22,VLOOKUP(C6,Jul,4,1)),0)</f>
        <v>0</v>
      </c>
      <c r="F6" s="103">
        <f>IFERROR(IF(VLOOKUP($C$12,Jul,4,1)='EP + PP'!F22,$C$12*'EP + PP'!F22,VLOOKUP(C12,Jul,4,1)),0)</f>
        <v>0</v>
      </c>
      <c r="G6" s="85"/>
      <c r="H6" s="100"/>
      <c r="I6" s="102">
        <f t="shared" si="0"/>
        <v>0</v>
      </c>
      <c r="J6" s="43"/>
      <c r="L6" s="77" t="s">
        <v>36</v>
      </c>
    </row>
    <row r="7" spans="2:13" ht="16.5" customHeight="1" thickBot="1" x14ac:dyDescent="0.3">
      <c r="B7" s="95">
        <v>42583</v>
      </c>
      <c r="C7" s="101"/>
      <c r="D7" s="97"/>
      <c r="E7" s="102">
        <f>IFERROR(IF(VLOOKUP(C7,Aug,4,1)='EP + PP'!F27,C7*'EP + PP'!F27,VLOOKUP(C7,Aug,4,1)),0)</f>
        <v>0</v>
      </c>
      <c r="F7" s="103">
        <f>IFERROR(IF(VLOOKUP($C$12,Aug,4,1)='EP + PP'!F27,$C$12*'EP + PP'!F27,VLOOKUP(C12,Aug,4,1)),0)</f>
        <v>0</v>
      </c>
      <c r="G7" s="85"/>
      <c r="H7" s="100"/>
      <c r="I7" s="102">
        <f t="shared" si="0"/>
        <v>0</v>
      </c>
      <c r="J7" s="43"/>
      <c r="L7" s="78"/>
    </row>
    <row r="8" spans="2:13" ht="16.5" customHeight="1" thickBot="1" x14ac:dyDescent="0.3">
      <c r="B8" s="95">
        <v>42614</v>
      </c>
      <c r="C8" s="101"/>
      <c r="D8" s="97"/>
      <c r="E8" s="102">
        <f>IFERROR(IF(VLOOKUP(C8,Sep,4,1)='EP + PP'!F32,C8*'EP + PP'!F32,VLOOKUP(C8,Sep,4,1)),0)</f>
        <v>0</v>
      </c>
      <c r="F8" s="103">
        <f>IFERROR(IF(VLOOKUP($C$12,Sep,4,1)='EP + PP'!F32,$C$12*'EP + PP'!F32,VLOOKUP(C12,Sep,4,1)),0)</f>
        <v>0</v>
      </c>
      <c r="G8" s="85"/>
      <c r="H8" s="100"/>
      <c r="I8" s="102">
        <f t="shared" si="0"/>
        <v>0</v>
      </c>
      <c r="J8" s="43"/>
      <c r="L8" s="11"/>
    </row>
    <row r="9" spans="2:13" ht="16.5" customHeight="1" x14ac:dyDescent="0.25">
      <c r="B9" s="95">
        <v>42644</v>
      </c>
      <c r="C9" s="101"/>
      <c r="D9" s="97"/>
      <c r="E9" s="102">
        <f>IFERROR(IF(VLOOKUP(C9,Oct,4,1)='EP + PP'!F37,C9*'EP + PP'!F37,VLOOKUP(C9,Oct,4,1)),0)</f>
        <v>0</v>
      </c>
      <c r="F9" s="103">
        <f>IFERROR(IF(VLOOKUP($C$12,Oct,4,1)='EP + PP'!F37,$C$12*'EP + PP'!F37,VLOOKUP(C12,Oct,4,1)),0)</f>
        <v>0</v>
      </c>
      <c r="G9" s="85"/>
      <c r="H9" s="100"/>
      <c r="I9" s="102">
        <f t="shared" si="0"/>
        <v>0</v>
      </c>
      <c r="J9" s="43"/>
      <c r="L9" s="109" t="s">
        <v>35</v>
      </c>
    </row>
    <row r="10" spans="2:13" ht="16.5" customHeight="1" thickBot="1" x14ac:dyDescent="0.3">
      <c r="B10" s="95">
        <v>42675</v>
      </c>
      <c r="C10" s="104"/>
      <c r="D10" s="97"/>
      <c r="E10" s="88">
        <f>IFERROR(IF(VLOOKUP(C10,Nov,4,1)='EP + PP'!F42,C10*'EP + PP'!F42,VLOOKUP(C10,Nov,4,1)),0)</f>
        <v>0</v>
      </c>
      <c r="F10" s="89">
        <f>IFERROR(IF(VLOOKUP($C$12,Nov,4,1)='EP + PP'!F42,$C$12*'EP + PP'!F42,VLOOKUP(C12,Nov,4,1)),0)</f>
        <v>0</v>
      </c>
      <c r="G10" s="85"/>
      <c r="H10" s="100"/>
      <c r="I10" s="88">
        <f t="shared" si="0"/>
        <v>0</v>
      </c>
      <c r="J10" s="43"/>
      <c r="K10" s="91"/>
      <c r="L10" s="110"/>
      <c r="M10" s="91"/>
    </row>
    <row r="11" spans="2:13" ht="29.25" customHeight="1" thickBot="1" x14ac:dyDescent="0.3">
      <c r="B11" s="83" t="s">
        <v>2</v>
      </c>
      <c r="C11" s="86">
        <f>SUM(C3:C10)</f>
        <v>0</v>
      </c>
      <c r="D11" s="92"/>
      <c r="E11" s="87">
        <f>SUM(E3:E10)</f>
        <v>0</v>
      </c>
      <c r="F11" s="89">
        <f>SUM(F3:F10)</f>
        <v>0</v>
      </c>
      <c r="G11" s="42"/>
      <c r="H11" s="70"/>
      <c r="I11" s="87">
        <f>SUM(I3:I10)</f>
        <v>0</v>
      </c>
      <c r="J11" s="43"/>
      <c r="L11" s="111" t="s">
        <v>38</v>
      </c>
    </row>
    <row r="12" spans="2:13" s="91" customFormat="1" ht="25.5" customHeight="1" thickBot="1" x14ac:dyDescent="0.3">
      <c r="B12" s="83" t="s">
        <v>25</v>
      </c>
      <c r="C12" s="94">
        <f>ROUND(C11/8,0)</f>
        <v>0</v>
      </c>
      <c r="D12" s="84"/>
      <c r="E12" s="85"/>
      <c r="F12" s="85"/>
      <c r="G12" s="85"/>
      <c r="H12" s="70"/>
      <c r="I12" s="67"/>
      <c r="J12" s="90"/>
      <c r="K12" s="1"/>
      <c r="L12" s="11"/>
      <c r="M12" s="1"/>
    </row>
    <row r="13" spans="2:13" ht="12.75" customHeight="1" x14ac:dyDescent="0.25">
      <c r="B13" s="39"/>
      <c r="C13" s="44"/>
      <c r="D13" s="44"/>
      <c r="E13" s="42"/>
      <c r="F13" s="42"/>
      <c r="G13" s="42"/>
      <c r="H13" s="70" t="s">
        <v>26</v>
      </c>
      <c r="I13" s="108">
        <f>IFERROR(VLOOKUP(C11,'EP + PP'!L9:N12,3,1),0)</f>
        <v>0</v>
      </c>
      <c r="J13" s="43"/>
      <c r="L13" s="72" t="s">
        <v>3</v>
      </c>
    </row>
    <row r="14" spans="2:13" ht="17.25" customHeight="1" thickBot="1" x14ac:dyDescent="0.3">
      <c r="B14" s="40"/>
      <c r="C14" s="66"/>
      <c r="D14" s="42"/>
      <c r="E14" s="66"/>
      <c r="F14" s="42"/>
      <c r="G14" s="42"/>
      <c r="H14" s="71" t="s">
        <v>34</v>
      </c>
      <c r="I14" s="93"/>
      <c r="J14" s="43"/>
      <c r="L14" s="73"/>
    </row>
    <row r="15" spans="2:13" ht="40.5" customHeight="1" thickBot="1" x14ac:dyDescent="0.3">
      <c r="B15" s="40"/>
      <c r="C15" s="42"/>
      <c r="D15" s="42"/>
      <c r="E15" s="42"/>
      <c r="F15" s="69" t="s">
        <v>32</v>
      </c>
      <c r="G15" s="42"/>
      <c r="H15" s="68"/>
      <c r="I15" s="69" t="s">
        <v>28</v>
      </c>
      <c r="J15" s="43"/>
      <c r="L15" s="74"/>
    </row>
    <row r="16" spans="2:13" ht="33" customHeight="1" thickBot="1" x14ac:dyDescent="0.3">
      <c r="B16" s="40"/>
      <c r="C16" s="42"/>
      <c r="D16" s="42"/>
      <c r="E16" s="82" t="s">
        <v>33</v>
      </c>
      <c r="F16" s="106" t="str">
        <f>IF(F11&lt;=E11,"none",(F11-E11))</f>
        <v>none</v>
      </c>
      <c r="G16" s="42"/>
      <c r="H16" s="82" t="s">
        <v>27</v>
      </c>
      <c r="I16" s="106" t="str">
        <f>IF(I11&gt;=I13,"none",I13-I11)</f>
        <v>none</v>
      </c>
      <c r="J16" s="43"/>
    </row>
    <row r="17" spans="1:19" ht="30" customHeight="1" x14ac:dyDescent="0.25">
      <c r="B17" s="40"/>
      <c r="C17" s="42"/>
      <c r="D17" s="42"/>
      <c r="E17" s="107" t="str">
        <f>IF(F16="none","Paid PP was greater than if PP paid on avg.","")</f>
        <v>Paid PP was greater than if PP paid on avg.</v>
      </c>
      <c r="F17" s="107"/>
      <c r="G17" s="42"/>
      <c r="H17" s="107" t="str">
        <f>IF(I16="none","Paid EP was greater than Max EP available","")</f>
        <v>Paid EP was greater than Max EP available</v>
      </c>
      <c r="I17" s="107"/>
      <c r="J17" s="43"/>
      <c r="L17" s="2"/>
    </row>
    <row r="18" spans="1:19" ht="15.75" customHeight="1" thickBot="1" x14ac:dyDescent="0.3">
      <c r="B18" s="41"/>
      <c r="C18" s="48"/>
      <c r="D18" s="48"/>
      <c r="E18" s="46"/>
      <c r="F18" s="46"/>
      <c r="G18" s="46"/>
      <c r="H18" s="46"/>
      <c r="I18" s="47"/>
      <c r="J18" s="45"/>
      <c r="K18" s="6"/>
      <c r="M18" s="6"/>
    </row>
    <row r="19" spans="1:19" ht="15.75" customHeight="1" x14ac:dyDescent="0.25">
      <c r="K19" s="6"/>
      <c r="L19" s="6"/>
      <c r="M19" s="6"/>
    </row>
    <row r="20" spans="1:19" ht="15.75" customHeight="1" x14ac:dyDescent="0.25">
      <c r="K20" s="6"/>
      <c r="L20" s="6"/>
      <c r="M20" s="6"/>
      <c r="N20" s="6"/>
      <c r="O20" s="6"/>
      <c r="P20" s="6"/>
      <c r="Q20" s="6"/>
      <c r="R20" s="6"/>
      <c r="S20" s="6"/>
    </row>
    <row r="21" spans="1:19" ht="15.75" customHeight="1" x14ac:dyDescent="0.25">
      <c r="K21" s="6"/>
      <c r="L21" s="6"/>
      <c r="M21" s="6"/>
      <c r="N21" s="6"/>
      <c r="O21" s="6"/>
      <c r="P21" s="6"/>
      <c r="Q21" s="6"/>
      <c r="R21" s="6"/>
      <c r="S21" s="6"/>
    </row>
    <row r="22" spans="1:19" ht="15.75" customHeight="1" x14ac:dyDescent="0.25">
      <c r="L22" s="6"/>
      <c r="N22" s="6"/>
      <c r="O22" s="6"/>
      <c r="P22" s="6"/>
      <c r="Q22" s="6"/>
      <c r="R22" s="6"/>
      <c r="S22" s="6"/>
    </row>
    <row r="23" spans="1:19" ht="15.75" customHeight="1" x14ac:dyDescent="0.25">
      <c r="N23" s="6"/>
      <c r="O23" s="6"/>
      <c r="P23" s="6"/>
      <c r="Q23" s="6"/>
      <c r="R23" s="6"/>
      <c r="S23" s="6"/>
    </row>
    <row r="24" spans="1:19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95" customHeight="1" x14ac:dyDescent="0.25"/>
    <row r="33" ht="31.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spans="3:11" ht="15.95" customHeight="1" x14ac:dyDescent="0.25"/>
    <row r="51" spans="3:11" x14ac:dyDescent="0.25">
      <c r="K51" s="2"/>
    </row>
    <row r="52" spans="3:11" x14ac:dyDescent="0.25">
      <c r="C52" s="2"/>
      <c r="D52" s="2"/>
      <c r="E52" s="2"/>
      <c r="F52" s="2"/>
      <c r="G52" s="2"/>
      <c r="J52" s="2"/>
      <c r="K52" s="2"/>
    </row>
    <row r="53" spans="3:11" x14ac:dyDescent="0.25">
      <c r="C53" s="2"/>
      <c r="D53" s="2"/>
      <c r="E53" s="2"/>
      <c r="F53" s="2"/>
      <c r="G53" s="2"/>
      <c r="J53" s="2"/>
      <c r="K53" s="2"/>
    </row>
    <row r="54" spans="3:11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1" ht="15" customHeight="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J56" s="2"/>
      <c r="K56" s="2"/>
    </row>
    <row r="57" spans="3:11" x14ac:dyDescent="0.25">
      <c r="J57" s="2"/>
      <c r="K57" s="2"/>
    </row>
    <row r="58" spans="3:11" ht="15" customHeight="1" x14ac:dyDescent="0.25">
      <c r="J58" s="2"/>
      <c r="K58" s="2"/>
    </row>
    <row r="59" spans="3:11" x14ac:dyDescent="0.25">
      <c r="J59" s="2"/>
      <c r="K59" s="2"/>
    </row>
    <row r="60" spans="3:11" x14ac:dyDescent="0.25">
      <c r="J60" s="2"/>
    </row>
    <row r="61" spans="3:11" x14ac:dyDescent="0.25">
      <c r="J61" s="2"/>
    </row>
    <row r="62" spans="3:11" x14ac:dyDescent="0.25">
      <c r="J62" s="2"/>
    </row>
    <row r="63" spans="3:11" x14ac:dyDescent="0.25">
      <c r="J63" s="2"/>
    </row>
    <row r="64" spans="3:11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  <row r="108" spans="10:10" x14ac:dyDescent="0.25">
      <c r="J108" s="2"/>
    </row>
    <row r="109" spans="10:10" x14ac:dyDescent="0.25">
      <c r="J109" s="2"/>
    </row>
    <row r="110" spans="10:10" x14ac:dyDescent="0.25">
      <c r="J110" s="2"/>
    </row>
  </sheetData>
  <mergeCells count="7">
    <mergeCell ref="E17:F17"/>
    <mergeCell ref="H17:I17"/>
    <mergeCell ref="L13:L15"/>
    <mergeCell ref="L3:L4"/>
    <mergeCell ref="L6:L7"/>
    <mergeCell ref="L9:L10"/>
    <mergeCell ref="I13:I14"/>
  </mergeCells>
  <pageMargins left="0.7" right="0.7" top="0.75" bottom="0.75" header="0.3" footer="0.3"/>
  <pageSetup paperSize="9" orientation="portrait" r:id="rId1"/>
  <ignoredErrors>
    <ignoredError sqref="C11:C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4"/>
  <sheetViews>
    <sheetView workbookViewId="0">
      <selection activeCell="L4" sqref="L4:O7"/>
    </sheetView>
  </sheetViews>
  <sheetFormatPr defaultRowHeight="15" x14ac:dyDescent="0.25"/>
  <cols>
    <col min="1" max="1" width="9.140625" style="1"/>
    <col min="2" max="2" width="9.85546875" style="1" customWidth="1"/>
    <col min="3" max="3" width="12.5703125" style="1" customWidth="1"/>
    <col min="4" max="5" width="13.5703125" style="1" customWidth="1"/>
    <col min="6" max="7" width="11.5703125" style="1" customWidth="1"/>
    <col min="8" max="8" width="9.85546875" style="1" customWidth="1"/>
    <col min="9" max="10" width="7.7109375" style="1" customWidth="1"/>
    <col min="11" max="11" width="11.42578125" style="1" customWidth="1"/>
    <col min="12" max="12" width="13.5703125" style="1" customWidth="1"/>
    <col min="13" max="14" width="14.28515625" style="1" customWidth="1"/>
    <col min="15" max="15" width="11.85546875" style="1" bestFit="1" customWidth="1"/>
    <col min="16" max="16" width="10.85546875" style="1" customWidth="1"/>
    <col min="17" max="17" width="9.85546875" style="1" customWidth="1"/>
    <col min="18" max="18" width="9.5703125" style="1" customWidth="1"/>
    <col min="19" max="16384" width="9.140625" style="1"/>
  </cols>
  <sheetData>
    <row r="1" spans="2:19" ht="15.75" thickBot="1" x14ac:dyDescent="0.3"/>
    <row r="2" spans="2:19" ht="33" customHeight="1" x14ac:dyDescent="0.25">
      <c r="B2" s="12"/>
      <c r="C2" s="22" t="s">
        <v>21</v>
      </c>
      <c r="D2" s="19"/>
      <c r="E2" s="19"/>
      <c r="F2" s="19"/>
      <c r="G2" s="19"/>
      <c r="H2" s="19"/>
      <c r="I2" s="13"/>
      <c r="K2" s="12"/>
      <c r="L2" s="22" t="s">
        <v>12</v>
      </c>
      <c r="M2" s="19"/>
      <c r="N2" s="19"/>
      <c r="O2" s="19"/>
      <c r="P2" s="19"/>
      <c r="Q2" s="19"/>
      <c r="R2" s="13"/>
    </row>
    <row r="3" spans="2:19" ht="37.5" customHeight="1" thickBot="1" x14ac:dyDescent="0.3">
      <c r="B3" s="15"/>
      <c r="C3" s="23" t="s">
        <v>4</v>
      </c>
      <c r="D3" s="23" t="s">
        <v>5</v>
      </c>
      <c r="E3" s="23" t="s">
        <v>6</v>
      </c>
      <c r="F3" s="20" t="s">
        <v>7</v>
      </c>
      <c r="G3" s="2"/>
      <c r="H3" s="80" t="s">
        <v>8</v>
      </c>
      <c r="I3" s="14"/>
      <c r="K3" s="15"/>
      <c r="L3" s="2" t="s">
        <v>4</v>
      </c>
      <c r="M3" s="2" t="s">
        <v>5</v>
      </c>
      <c r="N3" s="23" t="s">
        <v>6</v>
      </c>
      <c r="O3" s="20" t="s">
        <v>7</v>
      </c>
      <c r="P3" s="2"/>
      <c r="Q3" s="63" t="s">
        <v>11</v>
      </c>
      <c r="R3" s="14"/>
    </row>
    <row r="4" spans="2:19" ht="15.75" thickBot="1" x14ac:dyDescent="0.3">
      <c r="B4" s="49" t="s">
        <v>15</v>
      </c>
      <c r="C4" s="51">
        <v>1</v>
      </c>
      <c r="D4" s="52">
        <v>1099</v>
      </c>
      <c r="E4" s="25">
        <v>200</v>
      </c>
      <c r="F4" s="26">
        <f>E4/H4</f>
        <v>50</v>
      </c>
      <c r="G4" s="2"/>
      <c r="H4" s="24">
        <v>4</v>
      </c>
      <c r="I4" s="14"/>
      <c r="K4" s="79" t="s">
        <v>22</v>
      </c>
      <c r="L4" s="58">
        <v>1</v>
      </c>
      <c r="M4" s="59">
        <v>2499</v>
      </c>
      <c r="N4" s="8"/>
      <c r="O4" s="9">
        <v>0</v>
      </c>
      <c r="P4" s="2"/>
      <c r="Q4" s="34">
        <v>8</v>
      </c>
      <c r="R4" s="14"/>
      <c r="S4" s="2"/>
    </row>
    <row r="5" spans="2:19" x14ac:dyDescent="0.25">
      <c r="B5" s="15"/>
      <c r="C5" s="53">
        <v>1100</v>
      </c>
      <c r="D5" s="54">
        <v>1599</v>
      </c>
      <c r="E5" s="27">
        <v>1926</v>
      </c>
      <c r="F5" s="28">
        <f>E5/H4</f>
        <v>481.5</v>
      </c>
      <c r="G5" s="2"/>
      <c r="H5" s="2"/>
      <c r="I5" s="14"/>
      <c r="K5" s="79"/>
      <c r="L5" s="60">
        <v>2500</v>
      </c>
      <c r="M5" s="54">
        <v>2829</v>
      </c>
      <c r="N5" s="27">
        <v>15518.666666666666</v>
      </c>
      <c r="O5" s="31">
        <f>N5/Q4</f>
        <v>1939.8333333333333</v>
      </c>
      <c r="P5" s="2"/>
      <c r="Q5" s="2"/>
      <c r="R5" s="14"/>
    </row>
    <row r="6" spans="2:19" x14ac:dyDescent="0.25">
      <c r="B6" s="15"/>
      <c r="C6" s="53">
        <v>1600</v>
      </c>
      <c r="D6" s="54">
        <v>2499</v>
      </c>
      <c r="E6" s="27">
        <v>2695</v>
      </c>
      <c r="F6" s="28">
        <f>E6/H4</f>
        <v>673.75</v>
      </c>
      <c r="G6" s="2"/>
      <c r="H6" s="2"/>
      <c r="I6" s="14"/>
      <c r="K6" s="50" t="s">
        <v>23</v>
      </c>
      <c r="L6" s="60">
        <v>2830</v>
      </c>
      <c r="M6" s="54">
        <v>3149</v>
      </c>
      <c r="N6" s="27">
        <v>16126.666666666666</v>
      </c>
      <c r="O6" s="31">
        <f>N6/Q4</f>
        <v>2015.8333333333333</v>
      </c>
      <c r="P6" s="2"/>
      <c r="Q6" s="2"/>
      <c r="R6" s="14"/>
    </row>
    <row r="7" spans="2:19" ht="15.75" thickBot="1" x14ac:dyDescent="0.3">
      <c r="B7" s="15"/>
      <c r="C7" s="55">
        <v>2500</v>
      </c>
      <c r="D7" s="56" t="s">
        <v>9</v>
      </c>
      <c r="E7" s="4"/>
      <c r="F7" s="29">
        <v>0.56399999999999995</v>
      </c>
      <c r="G7" s="2" t="s">
        <v>10</v>
      </c>
      <c r="H7" s="2"/>
      <c r="I7" s="14"/>
      <c r="K7" s="21"/>
      <c r="L7" s="55">
        <v>3150</v>
      </c>
      <c r="M7" s="61" t="s">
        <v>9</v>
      </c>
      <c r="N7" s="32">
        <v>16733.333333333332</v>
      </c>
      <c r="O7" s="33">
        <f>N7/Q4</f>
        <v>2091.6666666666665</v>
      </c>
      <c r="P7" s="2"/>
      <c r="Q7" s="2"/>
      <c r="R7" s="14"/>
    </row>
    <row r="8" spans="2:19" ht="15.75" thickBot="1" x14ac:dyDescent="0.3">
      <c r="B8" s="15"/>
      <c r="C8" s="57"/>
      <c r="D8" s="57"/>
      <c r="E8" s="5"/>
      <c r="F8" s="5"/>
      <c r="G8" s="2"/>
      <c r="H8" s="63"/>
      <c r="I8" s="14"/>
      <c r="K8" s="15"/>
      <c r="L8" s="64"/>
      <c r="M8" s="64"/>
      <c r="N8" s="2"/>
      <c r="O8" s="2"/>
      <c r="P8" s="2"/>
      <c r="Q8" s="2"/>
      <c r="R8" s="14"/>
    </row>
    <row r="9" spans="2:19" ht="15.75" thickBot="1" x14ac:dyDescent="0.3">
      <c r="B9" s="49" t="s">
        <v>16</v>
      </c>
      <c r="C9" s="51">
        <v>1</v>
      </c>
      <c r="D9" s="52">
        <v>1099</v>
      </c>
      <c r="E9" s="25">
        <v>200</v>
      </c>
      <c r="F9" s="26">
        <f>E9/H9</f>
        <v>50</v>
      </c>
      <c r="G9" s="2"/>
      <c r="H9" s="24">
        <v>4</v>
      </c>
      <c r="I9" s="14"/>
      <c r="K9" s="15"/>
      <c r="L9" s="105">
        <v>0</v>
      </c>
      <c r="M9" s="59">
        <f>L10-1</f>
        <v>19999</v>
      </c>
      <c r="N9" s="9"/>
      <c r="O9" s="2"/>
      <c r="P9" s="2"/>
      <c r="Q9" s="2"/>
      <c r="R9" s="14"/>
    </row>
    <row r="10" spans="2:19" x14ac:dyDescent="0.25">
      <c r="B10" s="15"/>
      <c r="C10" s="53">
        <v>1100</v>
      </c>
      <c r="D10" s="54">
        <v>1599</v>
      </c>
      <c r="E10" s="27">
        <v>1926</v>
      </c>
      <c r="F10" s="28">
        <f>E10/H9</f>
        <v>481.5</v>
      </c>
      <c r="G10" s="2"/>
      <c r="H10" s="2"/>
      <c r="I10" s="14"/>
      <c r="K10" s="62" t="s">
        <v>22</v>
      </c>
      <c r="L10" s="60">
        <f t="shared" ref="L10:L12" si="0">L5*$Q$4</f>
        <v>20000</v>
      </c>
      <c r="M10" s="54">
        <f>L11-1</f>
        <v>22639</v>
      </c>
      <c r="N10" s="31">
        <f>N5</f>
        <v>15518.666666666666</v>
      </c>
      <c r="O10" s="2"/>
      <c r="P10" s="2"/>
      <c r="Q10" s="2"/>
      <c r="R10" s="14"/>
    </row>
    <row r="11" spans="2:19" x14ac:dyDescent="0.25">
      <c r="B11" s="15"/>
      <c r="C11" s="53">
        <v>1600</v>
      </c>
      <c r="D11" s="54">
        <v>2499</v>
      </c>
      <c r="E11" s="27">
        <v>2695</v>
      </c>
      <c r="F11" s="28">
        <f>E11/H9</f>
        <v>673.75</v>
      </c>
      <c r="G11" s="2"/>
      <c r="H11" s="2"/>
      <c r="I11" s="14"/>
      <c r="K11" s="65" t="s">
        <v>24</v>
      </c>
      <c r="L11" s="60">
        <f t="shared" si="0"/>
        <v>22640</v>
      </c>
      <c r="M11" s="54">
        <f>L12-1</f>
        <v>25199</v>
      </c>
      <c r="N11" s="31">
        <f>N6</f>
        <v>16126.666666666666</v>
      </c>
      <c r="O11" s="2"/>
      <c r="P11" s="2"/>
      <c r="Q11" s="2"/>
      <c r="R11" s="14"/>
    </row>
    <row r="12" spans="2:19" ht="15.75" thickBot="1" x14ac:dyDescent="0.3">
      <c r="B12" s="15"/>
      <c r="C12" s="55">
        <v>2500</v>
      </c>
      <c r="D12" s="56" t="s">
        <v>9</v>
      </c>
      <c r="E12" s="4"/>
      <c r="F12" s="29">
        <v>0.56399999999999995</v>
      </c>
      <c r="G12" s="2" t="s">
        <v>10</v>
      </c>
      <c r="H12" s="2"/>
      <c r="I12" s="14"/>
      <c r="K12" s="15"/>
      <c r="L12" s="55">
        <f t="shared" si="0"/>
        <v>25200</v>
      </c>
      <c r="M12" s="61" t="s">
        <v>9</v>
      </c>
      <c r="N12" s="33">
        <f>N7</f>
        <v>16733.333333333332</v>
      </c>
      <c r="O12" s="2"/>
      <c r="P12" s="2"/>
      <c r="Q12" s="2"/>
      <c r="R12" s="14"/>
    </row>
    <row r="13" spans="2:19" ht="15.75" thickBot="1" x14ac:dyDescent="0.3">
      <c r="B13" s="15"/>
      <c r="C13" s="57"/>
      <c r="D13" s="57"/>
      <c r="E13" s="5"/>
      <c r="F13" s="5"/>
      <c r="G13" s="2"/>
      <c r="H13" s="2"/>
      <c r="I13" s="14"/>
      <c r="K13" s="15"/>
      <c r="L13" s="64"/>
      <c r="M13" s="64"/>
      <c r="N13" s="2"/>
      <c r="O13" s="2"/>
      <c r="P13" s="2"/>
      <c r="Q13" s="2"/>
      <c r="R13" s="14"/>
    </row>
    <row r="14" spans="2:19" ht="15.75" thickBot="1" x14ac:dyDescent="0.3">
      <c r="B14" s="49" t="s">
        <v>17</v>
      </c>
      <c r="C14" s="51">
        <v>1</v>
      </c>
      <c r="D14" s="52">
        <v>1099</v>
      </c>
      <c r="E14" s="25">
        <v>200</v>
      </c>
      <c r="F14" s="26">
        <f>E14/H14</f>
        <v>50</v>
      </c>
      <c r="G14" s="2"/>
      <c r="H14" s="24">
        <v>4</v>
      </c>
      <c r="I14" s="14"/>
      <c r="K14" s="16"/>
      <c r="L14" s="18"/>
      <c r="M14" s="18"/>
      <c r="N14" s="18"/>
      <c r="O14" s="18"/>
      <c r="P14" s="18"/>
      <c r="Q14" s="18"/>
      <c r="R14" s="17"/>
    </row>
    <row r="15" spans="2:19" x14ac:dyDescent="0.25">
      <c r="B15" s="15"/>
      <c r="C15" s="53">
        <v>1100</v>
      </c>
      <c r="D15" s="54">
        <v>1599</v>
      </c>
      <c r="E15" s="27">
        <v>1926</v>
      </c>
      <c r="F15" s="28">
        <f>E15/H14</f>
        <v>481.5</v>
      </c>
      <c r="G15" s="2"/>
      <c r="H15" s="2"/>
      <c r="I15" s="14"/>
    </row>
    <row r="16" spans="2:19" x14ac:dyDescent="0.25">
      <c r="B16" s="15"/>
      <c r="C16" s="53">
        <v>1600</v>
      </c>
      <c r="D16" s="54">
        <v>2499</v>
      </c>
      <c r="E16" s="27">
        <v>2695</v>
      </c>
      <c r="F16" s="28">
        <f>E16/H14</f>
        <v>673.75</v>
      </c>
      <c r="G16" s="2"/>
      <c r="H16" s="2"/>
      <c r="I16" s="14"/>
    </row>
    <row r="17" spans="2:25" ht="15.75" thickBot="1" x14ac:dyDescent="0.3">
      <c r="B17" s="15"/>
      <c r="C17" s="55">
        <v>2500</v>
      </c>
      <c r="D17" s="56" t="s">
        <v>9</v>
      </c>
      <c r="E17" s="4"/>
      <c r="F17" s="29">
        <v>0.56399999999999995</v>
      </c>
      <c r="G17" s="2" t="s">
        <v>10</v>
      </c>
      <c r="H17" s="2"/>
      <c r="I17" s="14"/>
    </row>
    <row r="18" spans="2:25" ht="15.75" thickBot="1" x14ac:dyDescent="0.3">
      <c r="B18" s="15"/>
      <c r="C18" s="57"/>
      <c r="D18" s="57"/>
      <c r="E18" s="5"/>
      <c r="F18" s="5"/>
      <c r="G18" s="2"/>
      <c r="H18" s="2"/>
      <c r="I18" s="14"/>
    </row>
    <row r="19" spans="2:25" ht="15.75" thickBot="1" x14ac:dyDescent="0.3">
      <c r="B19" s="49" t="s">
        <v>18</v>
      </c>
      <c r="C19" s="51">
        <v>1</v>
      </c>
      <c r="D19" s="52">
        <v>1099</v>
      </c>
      <c r="E19" s="25">
        <v>200</v>
      </c>
      <c r="F19" s="26">
        <f>E19/H19</f>
        <v>50</v>
      </c>
      <c r="G19" s="2"/>
      <c r="H19" s="24">
        <v>4</v>
      </c>
      <c r="I19" s="14"/>
    </row>
    <row r="20" spans="2:25" x14ac:dyDescent="0.25">
      <c r="B20" s="15"/>
      <c r="C20" s="53">
        <v>1100</v>
      </c>
      <c r="D20" s="54">
        <v>1599</v>
      </c>
      <c r="E20" s="27">
        <v>1926</v>
      </c>
      <c r="F20" s="28">
        <f>E20/H19</f>
        <v>481.5</v>
      </c>
      <c r="G20" s="2"/>
      <c r="H20" s="2"/>
      <c r="I20" s="14"/>
    </row>
    <row r="21" spans="2:25" x14ac:dyDescent="0.25">
      <c r="B21" s="15"/>
      <c r="C21" s="53">
        <v>1600</v>
      </c>
      <c r="D21" s="54">
        <v>2499</v>
      </c>
      <c r="E21" s="27">
        <v>2695</v>
      </c>
      <c r="F21" s="28">
        <f>E21/H19</f>
        <v>673.75</v>
      </c>
      <c r="G21" s="2"/>
      <c r="H21" s="2"/>
      <c r="I21" s="14"/>
    </row>
    <row r="22" spans="2:25" ht="15.75" thickBot="1" x14ac:dyDescent="0.3">
      <c r="B22" s="15"/>
      <c r="C22" s="55">
        <v>2500</v>
      </c>
      <c r="D22" s="56" t="s">
        <v>9</v>
      </c>
      <c r="E22" s="4"/>
      <c r="F22" s="29">
        <v>0.56399999999999995</v>
      </c>
      <c r="G22" s="2" t="s">
        <v>10</v>
      </c>
      <c r="H22" s="2"/>
      <c r="I22" s="14"/>
    </row>
    <row r="23" spans="2:25" ht="15.75" thickBot="1" x14ac:dyDescent="0.3">
      <c r="B23" s="15"/>
      <c r="C23" s="57"/>
      <c r="D23" s="57"/>
      <c r="E23" s="5"/>
      <c r="F23" s="5"/>
      <c r="G23" s="2"/>
      <c r="H23" s="2"/>
      <c r="I23" s="14"/>
    </row>
    <row r="24" spans="2:25" ht="15.75" thickBot="1" x14ac:dyDescent="0.3">
      <c r="B24" s="49" t="s">
        <v>19</v>
      </c>
      <c r="C24" s="51">
        <v>1</v>
      </c>
      <c r="D24" s="52">
        <v>1099</v>
      </c>
      <c r="E24" s="25">
        <v>100</v>
      </c>
      <c r="F24" s="26">
        <f>E24/H24</f>
        <v>50</v>
      </c>
      <c r="G24" s="2"/>
      <c r="H24" s="24">
        <v>2</v>
      </c>
      <c r="I24" s="14"/>
    </row>
    <row r="25" spans="2:25" x14ac:dyDescent="0.25">
      <c r="B25" s="15"/>
      <c r="C25" s="53">
        <v>1100</v>
      </c>
      <c r="D25" s="54">
        <v>1599</v>
      </c>
      <c r="E25" s="27">
        <v>748</v>
      </c>
      <c r="F25" s="28">
        <f>E25/H24</f>
        <v>374</v>
      </c>
      <c r="G25" s="2"/>
      <c r="H25" s="2"/>
      <c r="I25" s="14"/>
    </row>
    <row r="26" spans="2:25" x14ac:dyDescent="0.25">
      <c r="B26" s="15"/>
      <c r="C26" s="53">
        <v>1600</v>
      </c>
      <c r="D26" s="54">
        <v>2499</v>
      </c>
      <c r="E26" s="27">
        <v>1047</v>
      </c>
      <c r="F26" s="28">
        <f>E26/H24</f>
        <v>523.5</v>
      </c>
      <c r="G26" s="2"/>
      <c r="H26" s="2"/>
      <c r="I26" s="14"/>
    </row>
    <row r="27" spans="2:25" ht="15.75" thickBot="1" x14ac:dyDescent="0.3">
      <c r="B27" s="15"/>
      <c r="C27" s="55">
        <v>2500</v>
      </c>
      <c r="D27" s="56" t="s">
        <v>9</v>
      </c>
      <c r="E27" s="4"/>
      <c r="F27" s="29">
        <v>0.438</v>
      </c>
      <c r="G27" s="2" t="s">
        <v>10</v>
      </c>
      <c r="H27" s="2"/>
      <c r="I27" s="14"/>
    </row>
    <row r="28" spans="2:25" ht="15.75" thickBot="1" x14ac:dyDescent="0.3">
      <c r="B28" s="15"/>
      <c r="C28" s="57"/>
      <c r="D28" s="57"/>
      <c r="E28" s="5"/>
      <c r="F28" s="5"/>
      <c r="G28" s="2"/>
      <c r="H28" s="2"/>
      <c r="I28" s="14"/>
    </row>
    <row r="29" spans="2:25" ht="15.75" thickBot="1" x14ac:dyDescent="0.3">
      <c r="B29" s="49" t="s">
        <v>20</v>
      </c>
      <c r="C29" s="51">
        <v>1</v>
      </c>
      <c r="D29" s="52">
        <v>1099</v>
      </c>
      <c r="E29" s="25">
        <v>100</v>
      </c>
      <c r="F29" s="26">
        <f>E29/H29</f>
        <v>50</v>
      </c>
      <c r="G29" s="2"/>
      <c r="H29" s="24">
        <v>2</v>
      </c>
      <c r="I29" s="14"/>
      <c r="Y29" s="7"/>
    </row>
    <row r="30" spans="2:25" x14ac:dyDescent="0.25">
      <c r="B30" s="15"/>
      <c r="C30" s="53">
        <v>1100</v>
      </c>
      <c r="D30" s="54">
        <v>1599</v>
      </c>
      <c r="E30" s="27">
        <v>748</v>
      </c>
      <c r="F30" s="28">
        <f>E30/H29</f>
        <v>374</v>
      </c>
      <c r="G30" s="2"/>
      <c r="H30" s="2"/>
      <c r="I30" s="14"/>
      <c r="Y30" s="2"/>
    </row>
    <row r="31" spans="2:25" x14ac:dyDescent="0.25">
      <c r="B31" s="15"/>
      <c r="C31" s="53">
        <v>1600</v>
      </c>
      <c r="D31" s="54">
        <v>2499</v>
      </c>
      <c r="E31" s="27">
        <v>1047</v>
      </c>
      <c r="F31" s="28">
        <f>E31/H29</f>
        <v>523.5</v>
      </c>
      <c r="G31" s="2"/>
      <c r="H31" s="2"/>
      <c r="I31" s="14"/>
    </row>
    <row r="32" spans="2:25" ht="15.75" thickBot="1" x14ac:dyDescent="0.3">
      <c r="B32" s="15"/>
      <c r="C32" s="55">
        <v>2500</v>
      </c>
      <c r="D32" s="56" t="s">
        <v>9</v>
      </c>
      <c r="E32" s="4"/>
      <c r="F32" s="29">
        <v>0.438</v>
      </c>
      <c r="G32" s="2" t="s">
        <v>10</v>
      </c>
      <c r="H32" s="2"/>
      <c r="I32" s="14"/>
    </row>
    <row r="33" spans="2:21" ht="15.75" thickBot="1" x14ac:dyDescent="0.3">
      <c r="B33" s="15"/>
      <c r="C33" s="57"/>
      <c r="D33" s="57"/>
      <c r="E33" s="5"/>
      <c r="F33" s="5"/>
      <c r="G33" s="2"/>
      <c r="H33" s="2"/>
      <c r="I33" s="14"/>
      <c r="U33" s="3"/>
    </row>
    <row r="34" spans="2:21" ht="15.75" thickBot="1" x14ac:dyDescent="0.3">
      <c r="B34" s="49" t="s">
        <v>13</v>
      </c>
      <c r="C34" s="51">
        <v>1</v>
      </c>
      <c r="D34" s="52">
        <v>1099</v>
      </c>
      <c r="E34" s="25">
        <v>100</v>
      </c>
      <c r="F34" s="30">
        <f>E34/H34</f>
        <v>50</v>
      </c>
      <c r="G34" s="2"/>
      <c r="H34" s="24">
        <v>2</v>
      </c>
      <c r="I34" s="14"/>
      <c r="U34" s="3"/>
    </row>
    <row r="35" spans="2:21" x14ac:dyDescent="0.25">
      <c r="B35" s="15"/>
      <c r="C35" s="53">
        <v>1100</v>
      </c>
      <c r="D35" s="54">
        <v>1599</v>
      </c>
      <c r="E35" s="27">
        <v>891</v>
      </c>
      <c r="F35" s="28">
        <f>E35/H34</f>
        <v>445.5</v>
      </c>
      <c r="G35" s="2"/>
      <c r="H35" s="2"/>
      <c r="I35" s="14"/>
      <c r="U35" s="3"/>
    </row>
    <row r="36" spans="2:21" x14ac:dyDescent="0.25">
      <c r="B36" s="15"/>
      <c r="C36" s="53">
        <v>1600</v>
      </c>
      <c r="D36" s="54">
        <v>2499</v>
      </c>
      <c r="E36" s="27">
        <v>1247</v>
      </c>
      <c r="F36" s="28">
        <f>E36/H34</f>
        <v>623.5</v>
      </c>
      <c r="G36" s="2"/>
      <c r="H36" s="2"/>
      <c r="I36" s="14"/>
      <c r="P36" s="2"/>
    </row>
    <row r="37" spans="2:21" ht="15.75" thickBot="1" x14ac:dyDescent="0.3">
      <c r="B37" s="15"/>
      <c r="C37" s="55">
        <v>2500</v>
      </c>
      <c r="D37" s="56" t="s">
        <v>9</v>
      </c>
      <c r="E37" s="4"/>
      <c r="F37" s="29">
        <v>0.52200000000000002</v>
      </c>
      <c r="G37" s="2" t="s">
        <v>10</v>
      </c>
      <c r="H37" s="2"/>
      <c r="I37" s="14"/>
      <c r="P37" s="2"/>
    </row>
    <row r="38" spans="2:21" ht="15.75" thickBot="1" x14ac:dyDescent="0.3">
      <c r="B38" s="15"/>
      <c r="C38" s="57"/>
      <c r="D38" s="57"/>
      <c r="E38" s="5"/>
      <c r="F38" s="5"/>
      <c r="G38" s="2"/>
      <c r="H38" s="63"/>
      <c r="I38" s="14"/>
      <c r="P38" s="2"/>
    </row>
    <row r="39" spans="2:21" ht="15.75" thickBot="1" x14ac:dyDescent="0.3">
      <c r="B39" s="62" t="s">
        <v>14</v>
      </c>
      <c r="C39" s="51">
        <v>1</v>
      </c>
      <c r="D39" s="52">
        <v>1099</v>
      </c>
      <c r="E39" s="25">
        <v>100</v>
      </c>
      <c r="F39" s="30">
        <f>E39/H39</f>
        <v>50</v>
      </c>
      <c r="G39" s="2"/>
      <c r="H39" s="24">
        <v>2</v>
      </c>
      <c r="I39" s="14"/>
      <c r="P39" s="2"/>
    </row>
    <row r="40" spans="2:21" x14ac:dyDescent="0.25">
      <c r="B40" s="15"/>
      <c r="C40" s="53">
        <v>1100</v>
      </c>
      <c r="D40" s="54">
        <v>1599</v>
      </c>
      <c r="E40" s="27">
        <v>891</v>
      </c>
      <c r="F40" s="28">
        <f>E40/H39</f>
        <v>445.5</v>
      </c>
      <c r="G40" s="2"/>
      <c r="H40" s="2"/>
      <c r="I40" s="14"/>
      <c r="P40" s="2"/>
    </row>
    <row r="41" spans="2:21" x14ac:dyDescent="0.25">
      <c r="B41" s="15"/>
      <c r="C41" s="53">
        <v>1600</v>
      </c>
      <c r="D41" s="54">
        <v>2499</v>
      </c>
      <c r="E41" s="27">
        <v>1247</v>
      </c>
      <c r="F41" s="28">
        <f>E41/H39</f>
        <v>623.5</v>
      </c>
      <c r="G41" s="2"/>
      <c r="H41" s="2"/>
      <c r="I41" s="14"/>
      <c r="P41" s="2"/>
    </row>
    <row r="42" spans="2:21" ht="15.75" thickBot="1" x14ac:dyDescent="0.3">
      <c r="B42" s="15"/>
      <c r="C42" s="55">
        <v>2500</v>
      </c>
      <c r="D42" s="56" t="s">
        <v>9</v>
      </c>
      <c r="E42" s="4"/>
      <c r="F42" s="29">
        <v>0.52200000000000002</v>
      </c>
      <c r="G42" s="2" t="s">
        <v>10</v>
      </c>
      <c r="H42" s="2"/>
      <c r="I42" s="14"/>
      <c r="P42" s="2"/>
    </row>
    <row r="43" spans="2:21" x14ac:dyDescent="0.25">
      <c r="B43" s="15"/>
      <c r="C43" s="5"/>
      <c r="D43" s="5"/>
      <c r="E43" s="5"/>
      <c r="F43" s="5"/>
      <c r="G43" s="2"/>
      <c r="H43" s="2"/>
      <c r="I43" s="14"/>
      <c r="P43" s="2"/>
    </row>
    <row r="44" spans="2:21" ht="15.75" thickBot="1" x14ac:dyDescent="0.3">
      <c r="B44" s="16"/>
      <c r="C44" s="81"/>
      <c r="D44" s="81"/>
      <c r="E44" s="81"/>
      <c r="F44" s="81"/>
      <c r="G44" s="18"/>
      <c r="H44" s="18"/>
      <c r="I44" s="17"/>
      <c r="P44" s="2"/>
    </row>
    <row r="45" spans="2:21" x14ac:dyDescent="0.25">
      <c r="P45" s="2"/>
    </row>
    <row r="46" spans="2:21" x14ac:dyDescent="0.25">
      <c r="P46" s="2"/>
    </row>
    <row r="47" spans="2:21" x14ac:dyDescent="0.25">
      <c r="P47" s="2"/>
    </row>
    <row r="48" spans="2:21" x14ac:dyDescent="0.25">
      <c r="P48" s="2"/>
    </row>
    <row r="49" spans="8:16" ht="18.75" customHeight="1" x14ac:dyDescent="0.25">
      <c r="P49" s="2"/>
    </row>
    <row r="54" spans="8:16" x14ac:dyDescent="0.25">
      <c r="H54" s="2"/>
    </row>
  </sheetData>
  <mergeCells count="1">
    <mergeCell ref="K4:K5"/>
  </mergeCells>
  <pageMargins left="0.7" right="0.7" top="0.75" bottom="0.75" header="0.3" footer="0.3"/>
  <pageSetup paperSize="9" orientation="portrait" horizontalDpi="4294967295" verticalDpi="4294967295" r:id="rId1"/>
  <ignoredErrors>
    <ignoredError sqref="F4:F6 F8:F11 F28:F31 F13:F16 F18:F21 F23:F26 F34:F41 O5:O7 L10:L12 M10:M11 N10:N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D8278B33D9646B12AB1635B98D01C" ma:contentTypeVersion="" ma:contentTypeDescription="Create a new document." ma:contentTypeScope="" ma:versionID="0dc27557eea8bfc212b054ee96a33af8">
  <xsd:schema xmlns:xsd="http://www.w3.org/2001/XMLSchema" xmlns:xs="http://www.w3.org/2001/XMLSchema" xmlns:p="http://schemas.microsoft.com/office/2006/metadata/properties" xmlns:ns2="1c7d3551-5694-4f12-b35a-d9a7a462ea4b" xmlns:ns3="9154ac1c-28d4-46c7-b504-e2b8691f73ef" targetNamespace="http://schemas.microsoft.com/office/2006/metadata/properties" ma:root="true" ma:fieldsID="f45dd5cfee5881fd32901a8979d6f38d" ns2:_="" ns3:_="">
    <xsd:import namespace="1c7d3551-5694-4f12-b35a-d9a7a462ea4b"/>
    <xsd:import namespace="9154ac1c-28d4-46c7-b504-e2b8691f73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4ac1c-28d4-46c7-b504-e2b8691f73ef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3B331E-656B-459F-B0DD-5BE16A656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9154ac1c-28d4-46c7-b504-e2b8691f7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32CE4-1CA3-4CEC-BEFF-8AA4BD4682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F3649-D21A-45A2-B282-6349E3C98C84}">
  <ds:schemaRefs>
    <ds:schemaRef ds:uri="9154ac1c-28d4-46c7-b504-e2b8691f73e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c7d3551-5694-4f12-b35a-d9a7a462ea4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Top ups</vt:lpstr>
      <vt:lpstr>EP + PP</vt:lpstr>
      <vt:lpstr>Apr</vt:lpstr>
      <vt:lpstr>Aug</vt:lpstr>
      <vt:lpstr>EP</vt:lpstr>
      <vt:lpstr>Jul</vt:lpstr>
      <vt:lpstr>Jun</vt:lpstr>
      <vt:lpstr>May</vt:lpstr>
      <vt:lpstr>Nov</vt:lpstr>
      <vt:lpstr>Oct</vt:lpstr>
      <vt:lpstr>Sep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Digby</dc:creator>
  <cp:keywords/>
  <dc:description/>
  <cp:lastModifiedBy>Michael Digby</cp:lastModifiedBy>
  <cp:revision/>
  <dcterms:created xsi:type="dcterms:W3CDTF">2015-06-18T08:44:01Z</dcterms:created>
  <dcterms:modified xsi:type="dcterms:W3CDTF">2017-03-30T09:18:48Z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0x010100158D8278B33D9646B12AB1635B98D01C</vt:lpwstr>
  </property>
</Properties>
</file>