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mdigby\Downloads\"/>
    </mc:Choice>
  </mc:AlternateContent>
  <bookViews>
    <workbookView xWindow="0" yWindow="0" windowWidth="28800" windowHeight="11310"/>
  </bookViews>
  <sheets>
    <sheet name="Top ups" sheetId="1" r:id="rId1"/>
    <sheet name="EP + PP" sheetId="2" r:id="rId2"/>
  </sheets>
  <definedNames>
    <definedName name="Apr">'EP + PP'!$C$4:$F$7</definedName>
    <definedName name="Aug">'EP + PP'!$C$24:$F$27</definedName>
    <definedName name="Dec">'EP + PP'!$C$44:$F$47</definedName>
    <definedName name="EP">'EP + PP'!$L$4:$O$7</definedName>
    <definedName name="EPtwo">'EP + PP'!$L$9:$O$12</definedName>
    <definedName name="Feb">'EP + PP'!$C$54:$F$57</definedName>
    <definedName name="Jan">'EP + PP'!$C$49:$F$52</definedName>
    <definedName name="Jul">'EP + PP'!$C$19:$F$22</definedName>
    <definedName name="Jun">'EP + PP'!$C$14:$F$17</definedName>
    <definedName name="Mar">'EP + PP'!$C$59:$F$62</definedName>
    <definedName name="May">'EP + PP'!$C$9:$F$12</definedName>
    <definedName name="Nov">'EP + PP'!$C$39:$F$42</definedName>
    <definedName name="Oct">'EP + PP'!$C$34:$F$37</definedName>
    <definedName name="Sep">'EP + PP'!$C$29:$F$32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" l="1"/>
  <c r="F60" i="2"/>
  <c r="F59" i="2"/>
  <c r="F51" i="2"/>
  <c r="F50" i="2"/>
  <c r="F49" i="2"/>
  <c r="F46" i="2"/>
  <c r="F45" i="2"/>
  <c r="F44" i="2"/>
  <c r="F41" i="2"/>
  <c r="F40" i="2"/>
  <c r="F39" i="2"/>
  <c r="F31" i="2"/>
  <c r="F30" i="2"/>
  <c r="F29" i="2"/>
  <c r="F21" i="2"/>
  <c r="F20" i="2"/>
  <c r="F19" i="2"/>
  <c r="F16" i="2"/>
  <c r="F15" i="2"/>
  <c r="F14" i="2"/>
  <c r="F11" i="2"/>
  <c r="F10" i="2"/>
  <c r="F9" i="2"/>
  <c r="F14" i="1" l="1"/>
  <c r="F13" i="1"/>
  <c r="F12" i="1"/>
  <c r="F11" i="1"/>
  <c r="F10" i="1"/>
  <c r="F9" i="1"/>
  <c r="F6" i="1"/>
  <c r="F5" i="2"/>
  <c r="D11" i="1" l="1"/>
  <c r="D14" i="1"/>
  <c r="D13" i="1"/>
  <c r="D12" i="1"/>
  <c r="D10" i="1"/>
  <c r="D9" i="1"/>
  <c r="D8" i="1"/>
  <c r="D7" i="1"/>
  <c r="D6" i="1"/>
  <c r="D5" i="1"/>
  <c r="D4" i="1"/>
  <c r="D3" i="1"/>
  <c r="F4" i="1"/>
  <c r="F5" i="1"/>
  <c r="F7" i="1"/>
  <c r="F8" i="1"/>
  <c r="F3" i="1"/>
  <c r="O12" i="2"/>
  <c r="O11" i="2"/>
  <c r="O10" i="2"/>
  <c r="O7" i="2"/>
  <c r="O6" i="2"/>
  <c r="O5" i="2"/>
  <c r="F56" i="2"/>
  <c r="F55" i="2"/>
  <c r="F54" i="2"/>
  <c r="F36" i="2"/>
  <c r="F35" i="2"/>
  <c r="F34" i="2"/>
  <c r="F26" i="2"/>
  <c r="F25" i="2"/>
  <c r="F24" i="2"/>
  <c r="F6" i="2"/>
  <c r="F4" i="2"/>
  <c r="C15" i="1" l="1"/>
  <c r="C16" i="1" s="1"/>
  <c r="G14" i="1" l="1"/>
  <c r="G12" i="1"/>
  <c r="G10" i="1"/>
  <c r="G11" i="1"/>
  <c r="G13" i="1"/>
  <c r="G9" i="1"/>
  <c r="E11" i="1"/>
  <c r="E7" i="1"/>
  <c r="E3" i="1"/>
  <c r="G4" i="1"/>
  <c r="G8" i="1"/>
  <c r="E8" i="1"/>
  <c r="G3" i="1"/>
  <c r="E14" i="1"/>
  <c r="E10" i="1"/>
  <c r="E6" i="1"/>
  <c r="G5" i="1"/>
  <c r="E4" i="1"/>
  <c r="G7" i="1"/>
  <c r="E13" i="1"/>
  <c r="E9" i="1"/>
  <c r="E5" i="1"/>
  <c r="G6" i="1"/>
  <c r="E12" i="1"/>
  <c r="D15" i="1"/>
  <c r="E15" i="1" l="1"/>
  <c r="G15" i="1"/>
  <c r="C19" i="1" s="1"/>
  <c r="F15" i="1"/>
  <c r="C18" i="1" l="1"/>
  <c r="C21" i="1" s="1"/>
  <c r="C22" i="1"/>
</calcChain>
</file>

<file path=xl/sharedStrings.xml><?xml version="1.0" encoding="utf-8"?>
<sst xmlns="http://schemas.openxmlformats.org/spreadsheetml/2006/main" count="57" uniqueCount="29">
  <si>
    <t>Month</t>
  </si>
  <si>
    <t>Total</t>
  </si>
  <si>
    <t>PP top up entitlement</t>
  </si>
  <si>
    <t>EP top up entitlement</t>
  </si>
  <si>
    <t>Items</t>
  </si>
  <si>
    <t>PP</t>
  </si>
  <si>
    <t>EP</t>
  </si>
  <si>
    <t>Practice Payments</t>
  </si>
  <si>
    <t>Lower Items</t>
  </si>
  <si>
    <t>Upper Items</t>
  </si>
  <si>
    <t>+</t>
  </si>
  <si>
    <t>per item</t>
  </si>
  <si>
    <t>Establishment Payments</t>
  </si>
  <si>
    <t>12 month Avg</t>
  </si>
  <si>
    <t>PP if paid on 12 month Avg</t>
  </si>
  <si>
    <t>EP if paid on 12 month Avg</t>
  </si>
  <si>
    <t>This spreadsheet is designed as an aid to calculating top-up payments however responsibility for such calculations ultimately falls with contractors.  However, if you believe further improvements/changes  could be useful, please email info@psnc.org.uk</t>
  </si>
  <si>
    <t>Type the actual number of items into blue cells. This can be determined from your schedules of payments.</t>
  </si>
  <si>
    <t xml:space="preserve">Information here (red text)  can be amended to match relevant criteria set out in Part VIA of the Drug Tariff </t>
  </si>
  <si>
    <t>Monthly Payment</t>
  </si>
  <si>
    <t xml:space="preserve">The totals, automatically calculated in the orange cells, should match the Practice Payments and Establishment Payments in your schedule of payments.  </t>
  </si>
  <si>
    <t>The dark orange cells refer to the Practice Payments and Establishment Payments that would be received if calculated based on the average monthly items.</t>
  </si>
  <si>
    <t>EP if based on 12 month average</t>
  </si>
  <si>
    <t>PP if based on 12 month average</t>
  </si>
  <si>
    <t>Payment</t>
  </si>
  <si>
    <t>Months Applicable for</t>
  </si>
  <si>
    <t>Rate for months</t>
  </si>
  <si>
    <t>Apr-16 to Sep-16</t>
  </si>
  <si>
    <t>Oct-16 to Mar-17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</si>
</sst>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&quot;£&quot;#,##0.00"/>
    <numFmt numFmtId="169" formatCode="&quot;£&quot;#,##0"/>
    <numFmt numFmtId="170" formatCode="&quot;£&quot;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9" tint="-0.499984740745262"/>
      <name val="Calibri"/>
      <family val="2"/>
    </font>
    <font>
      <sz val="9"/>
      <color theme="5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0691854609822"/>
      </right>
      <top/>
      <bottom style="medium">
        <color theme="0" tint="-0.14990691854609822"/>
      </bottom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0691854609822"/>
      </bottom>
      <diagonal/>
    </border>
    <border>
      <left style="medium">
        <color theme="4" tint="-0.249977111117893"/>
      </left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77111117893"/>
      </right>
      <top style="medium">
        <color theme="5" tint="-0.24994659260841701"/>
      </top>
      <bottom/>
      <diagonal/>
    </border>
    <border>
      <left/>
      <right style="medium">
        <color theme="5" tint="-0.249977111117893"/>
      </right>
      <top/>
      <bottom/>
      <diagonal/>
    </border>
    <border>
      <left/>
      <right style="medium">
        <color theme="5" tint="-0.249977111117893"/>
      </right>
      <top/>
      <bottom style="medium">
        <color theme="5" tint="-0.24994659260841701"/>
      </bottom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/>
      <diagonal/>
    </border>
    <border>
      <left/>
      <right/>
      <top style="medium">
        <color theme="0" tint="-0.14990691854609822"/>
      </top>
      <bottom/>
      <diagonal/>
    </border>
    <border>
      <left/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6" borderId="0" xfId="0" applyFill="1"/>
    <xf numFmtId="0" fontId="0" fillId="6" borderId="0" xfId="0" applyFill="1" applyBorder="1"/>
    <xf numFmtId="0" fontId="5" fillId="6" borderId="0" xfId="0" applyFont="1" applyFill="1"/>
    <xf numFmtId="0" fontId="3" fillId="6" borderId="0" xfId="0" applyFont="1" applyFill="1"/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2" fillId="5" borderId="18" xfId="0" applyFont="1" applyFill="1" applyBorder="1" applyProtection="1">
      <protection locked="0"/>
    </xf>
    <xf numFmtId="0" fontId="2" fillId="5" borderId="19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17" fontId="0" fillId="6" borderId="0" xfId="0" applyNumberFormat="1" applyFill="1"/>
    <xf numFmtId="164" fontId="0" fillId="6" borderId="0" xfId="0" applyNumberFormat="1" applyFill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right" wrapText="1"/>
    </xf>
    <xf numFmtId="165" fontId="7" fillId="3" borderId="1" xfId="4" applyNumberFormat="1" applyFont="1" applyFill="1" applyBorder="1" applyProtection="1">
      <protection locked="0"/>
    </xf>
    <xf numFmtId="165" fontId="7" fillId="3" borderId="2" xfId="4" applyNumberFormat="1" applyFont="1" applyFill="1" applyBorder="1" applyProtection="1">
      <protection locked="0"/>
    </xf>
    <xf numFmtId="165" fontId="7" fillId="3" borderId="3" xfId="4" applyNumberFormat="1" applyFont="1" applyFill="1" applyBorder="1" applyProtection="1">
      <protection locked="0"/>
    </xf>
    <xf numFmtId="166" fontId="0" fillId="2" borderId="20" xfId="1" applyNumberFormat="1" applyFont="1" applyFill="1" applyBorder="1"/>
    <xf numFmtId="166" fontId="0" fillId="2" borderId="22" xfId="1" applyNumberFormat="1" applyFont="1" applyFill="1" applyBorder="1"/>
    <xf numFmtId="166" fontId="0" fillId="2" borderId="26" xfId="1" applyNumberFormat="1" applyFont="1" applyFill="1" applyBorder="1"/>
    <xf numFmtId="0" fontId="4" fillId="6" borderId="0" xfId="3" applyFill="1"/>
    <xf numFmtId="0" fontId="2" fillId="6" borderId="0" xfId="0" applyFont="1" applyFill="1" applyBorder="1" applyAlignment="1" applyProtection="1">
      <alignment horizontal="center"/>
      <protection locked="0"/>
    </xf>
    <xf numFmtId="0" fontId="2" fillId="5" borderId="30" xfId="0" applyFont="1" applyFill="1" applyBorder="1" applyProtection="1">
      <protection locked="0"/>
    </xf>
    <xf numFmtId="0" fontId="2" fillId="5" borderId="32" xfId="0" applyFont="1" applyFill="1" applyBorder="1" applyProtection="1">
      <protection locked="0"/>
    </xf>
    <xf numFmtId="0" fontId="2" fillId="5" borderId="34" xfId="0" applyFont="1" applyFill="1" applyBorder="1"/>
    <xf numFmtId="0" fontId="2" fillId="5" borderId="35" xfId="0" applyFont="1" applyFill="1" applyBorder="1"/>
    <xf numFmtId="0" fontId="2" fillId="5" borderId="36" xfId="0" applyFont="1" applyFill="1" applyBorder="1" applyAlignment="1">
      <alignment horizontal="right" wrapText="1"/>
    </xf>
    <xf numFmtId="166" fontId="0" fillId="8" borderId="27" xfId="1" applyNumberFormat="1" applyFont="1" applyFill="1" applyBorder="1"/>
    <xf numFmtId="166" fontId="0" fillId="8" borderId="28" xfId="1" applyNumberFormat="1" applyFont="1" applyFill="1" applyBorder="1"/>
    <xf numFmtId="166" fontId="0" fillId="8" borderId="29" xfId="1" applyNumberFormat="1" applyFont="1" applyFill="1" applyBorder="1"/>
    <xf numFmtId="0" fontId="9" fillId="6" borderId="0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left"/>
    </xf>
    <xf numFmtId="166" fontId="0" fillId="2" borderId="25" xfId="1" applyNumberFormat="1" applyFont="1" applyFill="1" applyBorder="1"/>
    <xf numFmtId="166" fontId="0" fillId="2" borderId="37" xfId="1" applyNumberFormat="1" applyFont="1" applyFill="1" applyBorder="1"/>
    <xf numFmtId="166" fontId="0" fillId="2" borderId="0" xfId="1" applyNumberFormat="1" applyFont="1" applyFill="1" applyBorder="1"/>
    <xf numFmtId="166" fontId="0" fillId="8" borderId="21" xfId="1" applyNumberFormat="1" applyFont="1" applyFill="1" applyBorder="1"/>
    <xf numFmtId="166" fontId="0" fillId="8" borderId="23" xfId="1" applyNumberFormat="1" applyFont="1" applyFill="1" applyBorder="1"/>
    <xf numFmtId="166" fontId="0" fillId="8" borderId="24" xfId="1" applyNumberFormat="1" applyFont="1" applyFill="1" applyBorder="1"/>
    <xf numFmtId="0" fontId="5" fillId="6" borderId="0" xfId="0" applyFont="1" applyFill="1" applyAlignment="1">
      <alignment horizontal="right"/>
    </xf>
    <xf numFmtId="166" fontId="0" fillId="4" borderId="5" xfId="1" applyNumberFormat="1" applyFont="1" applyFill="1" applyBorder="1" applyAlignment="1">
      <alignment horizontal="right"/>
    </xf>
    <xf numFmtId="169" fontId="2" fillId="5" borderId="10" xfId="0" applyNumberFormat="1" applyFont="1" applyFill="1" applyBorder="1" applyProtection="1">
      <protection locked="0"/>
    </xf>
    <xf numFmtId="169" fontId="2" fillId="5" borderId="0" xfId="0" applyNumberFormat="1" applyFont="1" applyFill="1" applyBorder="1" applyProtection="1">
      <protection locked="0"/>
    </xf>
    <xf numFmtId="168" fontId="2" fillId="5" borderId="11" xfId="0" applyNumberFormat="1" applyFont="1" applyFill="1" applyBorder="1" applyProtection="1">
      <protection locked="0"/>
    </xf>
    <xf numFmtId="168" fontId="2" fillId="5" borderId="13" xfId="0" applyNumberFormat="1" applyFont="1" applyFill="1" applyBorder="1" applyProtection="1">
      <protection locked="0"/>
    </xf>
    <xf numFmtId="170" fontId="2" fillId="5" borderId="17" xfId="0" applyNumberFormat="1" applyFont="1" applyFill="1" applyBorder="1" applyProtection="1">
      <protection locked="0"/>
    </xf>
    <xf numFmtId="0" fontId="0" fillId="6" borderId="0" xfId="0" applyFill="1" applyAlignment="1">
      <alignment horizontal="center" wrapText="1"/>
    </xf>
    <xf numFmtId="169" fontId="2" fillId="5" borderId="40" xfId="0" applyNumberFormat="1" applyFont="1" applyFill="1" applyBorder="1" applyProtection="1">
      <protection locked="0"/>
    </xf>
    <xf numFmtId="0" fontId="2" fillId="5" borderId="4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5" borderId="42" xfId="0" applyFont="1" applyFill="1" applyBorder="1" applyAlignment="1">
      <alignment horizontal="center"/>
    </xf>
    <xf numFmtId="169" fontId="2" fillId="5" borderId="32" xfId="0" applyNumberFormat="1" applyFont="1" applyFill="1" applyBorder="1" applyProtection="1">
      <protection locked="0"/>
    </xf>
    <xf numFmtId="169" fontId="2" fillId="5" borderId="31" xfId="0" applyNumberFormat="1" applyFont="1" applyFill="1" applyBorder="1" applyProtection="1">
      <protection locked="0"/>
    </xf>
    <xf numFmtId="169" fontId="2" fillId="5" borderId="33" xfId="0" applyNumberFormat="1" applyFont="1" applyFill="1" applyBorder="1" applyProtection="1">
      <protection locked="0"/>
    </xf>
    <xf numFmtId="167" fontId="0" fillId="4" borderId="4" xfId="2" applyNumberFormat="1" applyFont="1" applyFill="1" applyBorder="1" applyAlignment="1">
      <alignment horizontal="right"/>
    </xf>
    <xf numFmtId="17" fontId="5" fillId="6" borderId="0" xfId="0" applyNumberFormat="1" applyFont="1" applyFill="1" applyAlignment="1">
      <alignment horizontal="right"/>
    </xf>
    <xf numFmtId="17" fontId="5" fillId="6" borderId="0" xfId="0" applyNumberFormat="1" applyFont="1" applyFill="1" applyAlignment="1"/>
    <xf numFmtId="0" fontId="3" fillId="5" borderId="43" xfId="0" applyFont="1" applyFill="1" applyBorder="1" applyAlignment="1">
      <alignment horizontal="right"/>
    </xf>
    <xf numFmtId="0" fontId="3" fillId="5" borderId="44" xfId="0" applyFont="1" applyFill="1" applyBorder="1" applyAlignment="1">
      <alignment horizontal="right"/>
    </xf>
    <xf numFmtId="0" fontId="3" fillId="5" borderId="44" xfId="0" applyFont="1" applyFill="1" applyBorder="1" applyAlignment="1">
      <alignment horizontal="right" wrapText="1"/>
    </xf>
    <xf numFmtId="0" fontId="0" fillId="5" borderId="45" xfId="0" applyFill="1" applyBorder="1"/>
    <xf numFmtId="0" fontId="0" fillId="5" borderId="47" xfId="0" applyFill="1" applyBorder="1"/>
    <xf numFmtId="0" fontId="0" fillId="5" borderId="50" xfId="0" applyFill="1" applyBorder="1"/>
    <xf numFmtId="17" fontId="3" fillId="5" borderId="46" xfId="0" applyNumberFormat="1" applyFont="1" applyFill="1" applyBorder="1" applyAlignment="1">
      <alignment horizontal="right"/>
    </xf>
    <xf numFmtId="165" fontId="0" fillId="5" borderId="0" xfId="4" applyNumberFormat="1" applyFont="1" applyFill="1" applyBorder="1"/>
    <xf numFmtId="166" fontId="0" fillId="5" borderId="0" xfId="0" applyNumberFormat="1" applyFill="1" applyBorder="1"/>
    <xf numFmtId="0" fontId="0" fillId="5" borderId="0" xfId="0" applyFill="1" applyBorder="1"/>
    <xf numFmtId="17" fontId="0" fillId="5" borderId="46" xfId="0" applyNumberFormat="1" applyFill="1" applyBorder="1" applyAlignment="1">
      <alignment horizontal="right"/>
    </xf>
    <xf numFmtId="17" fontId="3" fillId="5" borderId="46" xfId="0" applyNumberFormat="1" applyFont="1" applyFill="1" applyBorder="1" applyAlignment="1">
      <alignment horizontal="right" wrapText="1"/>
    </xf>
    <xf numFmtId="166" fontId="0" fillId="5" borderId="0" xfId="1" applyNumberFormat="1" applyFont="1" applyFill="1" applyBorder="1"/>
    <xf numFmtId="0" fontId="0" fillId="5" borderId="46" xfId="0" applyFill="1" applyBorder="1" applyAlignment="1">
      <alignment horizontal="right"/>
    </xf>
    <xf numFmtId="0" fontId="0" fillId="5" borderId="48" xfId="0" applyFill="1" applyBorder="1"/>
    <xf numFmtId="0" fontId="0" fillId="5" borderId="49" xfId="0" applyFill="1" applyBorder="1"/>
    <xf numFmtId="0" fontId="3" fillId="5" borderId="46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8" borderId="38" xfId="0" applyFont="1" applyFill="1" applyBorder="1" applyAlignment="1">
      <alignment horizontal="left" vertical="center" wrapText="1"/>
    </xf>
    <xf numFmtId="0" fontId="9" fillId="8" borderId="39" xfId="0" applyFont="1" applyFill="1" applyBorder="1" applyAlignment="1">
      <alignment horizontal="left" vertical="center" wrapText="1"/>
    </xf>
    <xf numFmtId="0" fontId="8" fillId="7" borderId="4" xfId="3" applyFont="1" applyFill="1" applyBorder="1" applyAlignment="1">
      <alignment horizontal="left" vertical="center" wrapText="1"/>
    </xf>
    <xf numFmtId="0" fontId="8" fillId="7" borderId="6" xfId="3" applyFont="1" applyFill="1" applyBorder="1" applyAlignment="1">
      <alignment horizontal="left" vertical="center" wrapText="1"/>
    </xf>
    <xf numFmtId="0" fontId="8" fillId="7" borderId="5" xfId="3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left" wrapText="1"/>
    </xf>
    <xf numFmtId="0" fontId="2" fillId="5" borderId="16" xfId="0" applyFont="1" applyFill="1" applyBorder="1" applyAlignment="1">
      <alignment horizontal="left" wrapText="1"/>
    </xf>
  </cellXfs>
  <cellStyles count="5">
    <cellStyle name="Comma" xfId="4" builtinId="3"/>
    <cellStyle name="Currency" xfId="1" builtinId="4"/>
    <cellStyle name="Currency [0]" xfId="2" builtinId="7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workbookViewId="0">
      <selection activeCell="C3" sqref="C3"/>
    </sheetView>
  </sheetViews>
  <sheetFormatPr defaultRowHeight="15" x14ac:dyDescent="0.25"/>
  <cols>
    <col min="1" max="1" width="4.42578125" style="1" customWidth="1"/>
    <col min="2" max="2" width="28.140625" style="1" customWidth="1"/>
    <col min="3" max="3" width="14.85546875" style="1" customWidth="1"/>
    <col min="4" max="4" width="14.28515625" style="1" customWidth="1"/>
    <col min="5" max="5" width="16.7109375" style="1" customWidth="1"/>
    <col min="6" max="6" width="15.42578125" style="1" customWidth="1"/>
    <col min="7" max="7" width="17.5703125" style="1" customWidth="1"/>
    <col min="8" max="9" width="9.140625" style="1"/>
    <col min="10" max="10" width="64.85546875" style="1" customWidth="1"/>
    <col min="11" max="16384" width="9.140625" style="1"/>
  </cols>
  <sheetData>
    <row r="1" spans="2:10" ht="15.75" thickBot="1" x14ac:dyDescent="0.3"/>
    <row r="2" spans="2:10" ht="48" customHeight="1" thickBot="1" x14ac:dyDescent="0.3">
      <c r="B2" s="58" t="s">
        <v>0</v>
      </c>
      <c r="C2" s="59" t="s">
        <v>4</v>
      </c>
      <c r="D2" s="59" t="s">
        <v>5</v>
      </c>
      <c r="E2" s="60" t="s">
        <v>23</v>
      </c>
      <c r="F2" s="59" t="s">
        <v>6</v>
      </c>
      <c r="G2" s="60" t="s">
        <v>22</v>
      </c>
      <c r="H2" s="61"/>
    </row>
    <row r="3" spans="2:10" ht="15.95" customHeight="1" x14ac:dyDescent="0.25">
      <c r="B3" s="68">
        <v>42095</v>
      </c>
      <c r="C3" s="16"/>
      <c r="D3" s="19">
        <f>IFERROR(IF(VLOOKUP(C3,'EP + PP'!$C$4:$F$7,4,1)='EP + PP'!F7,'Top ups'!C3*'EP + PP'!F7,VLOOKUP(C3,'EP + PP'!$C$4:$F$7,4,1)),0)</f>
        <v>0</v>
      </c>
      <c r="E3" s="29">
        <f>IFERROR(IF(VLOOKUP($C$16,Apr,4,1)='EP + PP'!F7,$C$16*'EP + PP'!F7,VLOOKUP(C16,Apr,4,1)),0)</f>
        <v>0</v>
      </c>
      <c r="F3" s="34">
        <f t="shared" ref="F3:F8" si="0">IFERROR(VLOOKUP(C3,EP,4,1),0)</f>
        <v>0</v>
      </c>
      <c r="G3" s="37">
        <f t="shared" ref="G3:G8" si="1">IFERROR(VLOOKUP($C$16,EP,4,1),0)</f>
        <v>0</v>
      </c>
      <c r="H3" s="62"/>
      <c r="J3" s="75" t="s">
        <v>17</v>
      </c>
    </row>
    <row r="4" spans="2:10" ht="15.95" customHeight="1" thickBot="1" x14ac:dyDescent="0.3">
      <c r="B4" s="68">
        <v>42125</v>
      </c>
      <c r="C4" s="17"/>
      <c r="D4" s="20">
        <f>IFERROR(IF(VLOOKUP(C4,'EP + PP'!$C$9:$F$12,4,1)='EP + PP'!F12,'Top ups'!C4*'EP + PP'!F12,VLOOKUP(C4,'EP + PP'!$C$9:$F$12,4,1)),0)</f>
        <v>0</v>
      </c>
      <c r="E4" s="30">
        <f>IFERROR(IF(VLOOKUP($C$16,May,4,1)='EP + PP'!F12,$C$16*'EP + PP'!F12,VLOOKUP(C16,May,4,1)),0)</f>
        <v>0</v>
      </c>
      <c r="F4" s="35">
        <f t="shared" si="0"/>
        <v>0</v>
      </c>
      <c r="G4" s="38">
        <f t="shared" si="1"/>
        <v>0</v>
      </c>
      <c r="H4" s="62"/>
      <c r="J4" s="76"/>
    </row>
    <row r="5" spans="2:10" ht="15.95" customHeight="1" thickBot="1" x14ac:dyDescent="0.3">
      <c r="B5" s="68">
        <v>42156</v>
      </c>
      <c r="C5" s="17"/>
      <c r="D5" s="20">
        <f>IFERROR(IF(VLOOKUP(C5,Jun,4,1)='EP + PP'!F17,C5*'EP + PP'!F17,VLOOKUP(C5,Jun,4,1)),0)</f>
        <v>0</v>
      </c>
      <c r="E5" s="30">
        <f>IFERROR(IF(VLOOKUP($C$16,Jun,4,1)='EP + PP'!F17,$C$16*'EP + PP'!F17,VLOOKUP(C16,Jun,4,1)),0)</f>
        <v>0</v>
      </c>
      <c r="F5" s="36">
        <f t="shared" si="0"/>
        <v>0</v>
      </c>
      <c r="G5" s="38">
        <f t="shared" si="1"/>
        <v>0</v>
      </c>
      <c r="H5" s="62"/>
      <c r="J5" s="33"/>
    </row>
    <row r="6" spans="2:10" ht="15.95" customHeight="1" x14ac:dyDescent="0.25">
      <c r="B6" s="68">
        <v>42186</v>
      </c>
      <c r="C6" s="17"/>
      <c r="D6" s="20">
        <f>IFERROR(IF(VLOOKUP(C6,Jul,4,1)='EP + PP'!F22,C6*'EP + PP'!F22,VLOOKUP(C6,Jul,4,1)),0)</f>
        <v>0</v>
      </c>
      <c r="E6" s="30">
        <f>IFERROR(IF(VLOOKUP($C$16,Jul,4,1)='EP + PP'!F22,$C$16*'EP + PP'!F22,VLOOKUP(C16,Jul,4,1)),0)</f>
        <v>0</v>
      </c>
      <c r="F6" s="36">
        <f>IFERROR(VLOOKUP(C6,EP,4,1),0)</f>
        <v>0</v>
      </c>
      <c r="G6" s="38">
        <f t="shared" si="1"/>
        <v>0</v>
      </c>
      <c r="H6" s="62"/>
      <c r="J6" s="77" t="s">
        <v>20</v>
      </c>
    </row>
    <row r="7" spans="2:10" ht="15.95" customHeight="1" thickBot="1" x14ac:dyDescent="0.3">
      <c r="B7" s="68">
        <v>42217</v>
      </c>
      <c r="C7" s="17"/>
      <c r="D7" s="20">
        <f>IFERROR(IF(VLOOKUP(C7,Aug,4,1)='EP + PP'!F27,C7*'EP + PP'!F27,VLOOKUP(C7,Aug,4,1)),0)</f>
        <v>0</v>
      </c>
      <c r="E7" s="30">
        <f>IFERROR(IF(VLOOKUP($C$16,Aug,4,1)='EP + PP'!F27,$C$16*'EP + PP'!F27,VLOOKUP(C16,Aug,4,1)),0)</f>
        <v>0</v>
      </c>
      <c r="F7" s="36">
        <f t="shared" si="0"/>
        <v>0</v>
      </c>
      <c r="G7" s="38">
        <f t="shared" si="1"/>
        <v>0</v>
      </c>
      <c r="H7" s="62"/>
      <c r="J7" s="78"/>
    </row>
    <row r="8" spans="2:10" ht="15.95" customHeight="1" thickBot="1" x14ac:dyDescent="0.3">
      <c r="B8" s="68">
        <v>42248</v>
      </c>
      <c r="C8" s="17"/>
      <c r="D8" s="20">
        <f>IFERROR(IF(VLOOKUP(C8,Sep,4,1)='EP + PP'!F32,C8*'EP + PP'!F32,VLOOKUP(C8,Sep,4,1)),0)</f>
        <v>0</v>
      </c>
      <c r="E8" s="30">
        <f>IFERROR(IF(VLOOKUP($C$16,Sep,4,1)='EP + PP'!F32,$C$16*'EP + PP'!F32,VLOOKUP(C16,Sep,4,1)),0)</f>
        <v>0</v>
      </c>
      <c r="F8" s="36">
        <f t="shared" si="0"/>
        <v>0</v>
      </c>
      <c r="G8" s="38">
        <f t="shared" si="1"/>
        <v>0</v>
      </c>
      <c r="H8" s="62"/>
      <c r="J8" s="32"/>
    </row>
    <row r="9" spans="2:10" ht="15.95" customHeight="1" x14ac:dyDescent="0.25">
      <c r="B9" s="68">
        <v>42278</v>
      </c>
      <c r="C9" s="17"/>
      <c r="D9" s="20">
        <f>IFERROR(IF(VLOOKUP(C9,Oct,4,1)='EP + PP'!F37,C9*'EP + PP'!F37,VLOOKUP(C9,Oct,4,1)),0)</f>
        <v>0</v>
      </c>
      <c r="E9" s="30">
        <f>IFERROR(IF(VLOOKUP($C$16,Oct,4,1)='EP + PP'!F37,$C$16*'EP + PP'!F37,VLOOKUP(C16,Oct,4,1)),0)</f>
        <v>0</v>
      </c>
      <c r="F9" s="36">
        <f t="shared" ref="F9:F14" si="2">IFERROR(VLOOKUP(C9,EPtwo,4,1),0)</f>
        <v>0</v>
      </c>
      <c r="G9" s="38">
        <f t="shared" ref="G9:G14" si="3">IFERROR(VLOOKUP($C$16,EPtwo,4,1),0)</f>
        <v>0</v>
      </c>
      <c r="H9" s="62"/>
      <c r="J9" s="79" t="s">
        <v>21</v>
      </c>
    </row>
    <row r="10" spans="2:10" ht="15.95" customHeight="1" thickBot="1" x14ac:dyDescent="0.3">
      <c r="B10" s="68">
        <v>42309</v>
      </c>
      <c r="C10" s="17"/>
      <c r="D10" s="20">
        <f>IFERROR(IF(VLOOKUP(C10,Nov,4,1)='EP + PP'!F42,C10*'EP + PP'!F42,VLOOKUP(C10,Nov,4,1)),0)</f>
        <v>0</v>
      </c>
      <c r="E10" s="30">
        <f>IFERROR(IF(VLOOKUP($C$16,Nov,4,1)='EP + PP'!F42,$C$16*'EP + PP'!F42,VLOOKUP(C16,Nov,4,1)),0)</f>
        <v>0</v>
      </c>
      <c r="F10" s="36">
        <f t="shared" si="2"/>
        <v>0</v>
      </c>
      <c r="G10" s="38">
        <f t="shared" si="3"/>
        <v>0</v>
      </c>
      <c r="H10" s="62"/>
      <c r="J10" s="80"/>
    </row>
    <row r="11" spans="2:10" ht="15.95" customHeight="1" thickBot="1" x14ac:dyDescent="0.3">
      <c r="B11" s="68">
        <v>42339</v>
      </c>
      <c r="C11" s="17"/>
      <c r="D11" s="20">
        <f>IFERROR(IF(VLOOKUP(C11,Dec,4,1)='EP + PP'!F47,C11*'EP + PP'!F47,VLOOKUP(C11,Dec,4,1)),0)</f>
        <v>0</v>
      </c>
      <c r="E11" s="30">
        <f>IFERROR(IF(VLOOKUP($C$16,Dec,4,1)='EP + PP'!F47,$C$16*'EP + PP'!F47,VLOOKUP(C16,Dec,4,1)),0)</f>
        <v>0</v>
      </c>
      <c r="F11" s="36">
        <f t="shared" si="2"/>
        <v>0</v>
      </c>
      <c r="G11" s="38">
        <f t="shared" si="3"/>
        <v>0</v>
      </c>
      <c r="H11" s="62"/>
      <c r="J11" s="32"/>
    </row>
    <row r="12" spans="2:10" ht="15.95" customHeight="1" x14ac:dyDescent="0.25">
      <c r="B12" s="68">
        <v>42370</v>
      </c>
      <c r="C12" s="17"/>
      <c r="D12" s="20">
        <f>IFERROR(IF(VLOOKUP(C12,Jan,4,1)='EP + PP'!F52,C12*'EP + PP'!F52,VLOOKUP(C12,Jan,4,1)),0)</f>
        <v>0</v>
      </c>
      <c r="E12" s="30">
        <f>IFERROR(IF(VLOOKUP($C$16,Jan,4,1)='EP + PP'!F52,$C$16*'EP + PP'!F52,VLOOKUP(C16,Jan,4,1)),0)</f>
        <v>0</v>
      </c>
      <c r="F12" s="36">
        <f t="shared" si="2"/>
        <v>0</v>
      </c>
      <c r="G12" s="38">
        <f t="shared" si="3"/>
        <v>0</v>
      </c>
      <c r="H12" s="62"/>
      <c r="J12" s="81" t="s">
        <v>16</v>
      </c>
    </row>
    <row r="13" spans="2:10" ht="15.95" customHeight="1" x14ac:dyDescent="0.25">
      <c r="B13" s="68">
        <v>42401</v>
      </c>
      <c r="C13" s="17"/>
      <c r="D13" s="20">
        <f>IFERROR(IF(VLOOKUP(C13,Feb,4,1)='EP + PP'!F57,C13*'EP + PP'!F57,VLOOKUP(C13,Feb,4,1)),0)</f>
        <v>0</v>
      </c>
      <c r="E13" s="30">
        <f>IFERROR(IF(VLOOKUP($C$16,Feb,4,1)='EP + PP'!F57,$C$16*'EP + PP'!F57,VLOOKUP(C16,Feb,4,1)),0)</f>
        <v>0</v>
      </c>
      <c r="F13" s="36">
        <f t="shared" si="2"/>
        <v>0</v>
      </c>
      <c r="G13" s="38">
        <f t="shared" si="3"/>
        <v>0</v>
      </c>
      <c r="H13" s="62"/>
      <c r="J13" s="82"/>
    </row>
    <row r="14" spans="2:10" ht="15.95" customHeight="1" thickBot="1" x14ac:dyDescent="0.3">
      <c r="B14" s="68">
        <v>42430</v>
      </c>
      <c r="C14" s="18"/>
      <c r="D14" s="21">
        <f>IFERROR(IF(VLOOKUP(C14,Mar,4,1)='EP + PP'!F62,C14*'EP + PP'!F62,VLOOKUP(C14,Mar,4,1)),0)</f>
        <v>0</v>
      </c>
      <c r="E14" s="31">
        <f>IFERROR(IF(VLOOKUP($C$16,Mar,4,1)='EP + PP'!F62,$C$16*'EP + PP'!F62,VLOOKUP(C16,Mar,4,1)),0)</f>
        <v>0</v>
      </c>
      <c r="F14" s="21">
        <f t="shared" si="2"/>
        <v>0</v>
      </c>
      <c r="G14" s="39">
        <f t="shared" si="3"/>
        <v>0</v>
      </c>
      <c r="H14" s="62"/>
      <c r="J14" s="83"/>
    </row>
    <row r="15" spans="2:10" ht="15.95" customHeight="1" x14ac:dyDescent="0.25">
      <c r="B15" s="64" t="s">
        <v>1</v>
      </c>
      <c r="C15" s="65">
        <f>SUM(C3:C14)</f>
        <v>0</v>
      </c>
      <c r="D15" s="66">
        <f>SUM(D3:D14)</f>
        <v>0</v>
      </c>
      <c r="E15" s="66">
        <f>SUM(E3:E14)</f>
        <v>0</v>
      </c>
      <c r="F15" s="66">
        <f>SUM(F3:F14)</f>
        <v>0</v>
      </c>
      <c r="G15" s="66">
        <f>SUM(G3:G14)</f>
        <v>0</v>
      </c>
      <c r="H15" s="62"/>
    </row>
    <row r="16" spans="2:10" ht="15.95" customHeight="1" x14ac:dyDescent="0.25">
      <c r="B16" s="64" t="s">
        <v>13</v>
      </c>
      <c r="C16" s="65">
        <f>ROUND(C15/12,0)</f>
        <v>0</v>
      </c>
      <c r="D16" s="67"/>
      <c r="E16" s="67"/>
      <c r="F16" s="67"/>
      <c r="G16" s="67"/>
      <c r="H16" s="62"/>
    </row>
    <row r="17" spans="2:9" ht="15.95" customHeight="1" x14ac:dyDescent="0.25">
      <c r="B17" s="68"/>
      <c r="C17" s="67"/>
      <c r="D17" s="67"/>
      <c r="E17" s="67"/>
      <c r="F17" s="67"/>
      <c r="G17" s="67"/>
      <c r="H17" s="62"/>
    </row>
    <row r="18" spans="2:9" ht="15.95" customHeight="1" x14ac:dyDescent="0.25">
      <c r="B18" s="69" t="s">
        <v>14</v>
      </c>
      <c r="C18" s="66">
        <f>E15</f>
        <v>0</v>
      </c>
      <c r="D18" s="67"/>
      <c r="E18" s="67"/>
      <c r="F18" s="67"/>
      <c r="G18" s="67"/>
      <c r="H18" s="62"/>
    </row>
    <row r="19" spans="2:9" ht="15.95" customHeight="1" x14ac:dyDescent="0.25">
      <c r="B19" s="69" t="s">
        <v>15</v>
      </c>
      <c r="C19" s="70">
        <f>G15</f>
        <v>0</v>
      </c>
      <c r="D19" s="67"/>
      <c r="E19" s="67"/>
      <c r="F19" s="67"/>
      <c r="G19" s="67"/>
      <c r="H19" s="62"/>
    </row>
    <row r="20" spans="2:9" ht="15.95" customHeight="1" thickBot="1" x14ac:dyDescent="0.3">
      <c r="B20" s="71"/>
      <c r="C20" s="67"/>
      <c r="D20" s="67"/>
      <c r="E20" s="67"/>
      <c r="F20" s="67"/>
      <c r="G20" s="67"/>
      <c r="H20" s="62"/>
    </row>
    <row r="21" spans="2:9" ht="15.95" customHeight="1" x14ac:dyDescent="0.25">
      <c r="B21" s="74" t="s">
        <v>2</v>
      </c>
      <c r="C21" s="55">
        <f>IF(C18&lt;D15,"none",C18-D15)</f>
        <v>0</v>
      </c>
      <c r="D21" s="67"/>
      <c r="E21" s="67"/>
      <c r="F21" s="67"/>
      <c r="G21" s="67"/>
      <c r="H21" s="62"/>
    </row>
    <row r="22" spans="2:9" ht="15.95" customHeight="1" thickBot="1" x14ac:dyDescent="0.3">
      <c r="B22" s="74" t="s">
        <v>3</v>
      </c>
      <c r="C22" s="41">
        <f>IF(C19&lt;F15,"none",C19-F15)</f>
        <v>0</v>
      </c>
      <c r="D22" s="67"/>
      <c r="E22" s="67"/>
      <c r="F22" s="67"/>
      <c r="G22" s="67"/>
      <c r="H22" s="62"/>
    </row>
    <row r="23" spans="2:9" ht="15.95" customHeight="1" thickBot="1" x14ac:dyDescent="0.3">
      <c r="B23" s="72"/>
      <c r="C23" s="73"/>
      <c r="D23" s="73"/>
      <c r="E23" s="73"/>
      <c r="F23" s="73"/>
      <c r="G23" s="73"/>
      <c r="H23" s="63"/>
    </row>
    <row r="26" spans="2:9" x14ac:dyDescent="0.25">
      <c r="C26" s="2"/>
      <c r="D26" s="2"/>
      <c r="E26" s="2"/>
    </row>
    <row r="27" spans="2:9" x14ac:dyDescent="0.25">
      <c r="C27" s="2"/>
      <c r="D27" s="2"/>
      <c r="E27" s="2"/>
      <c r="H27" s="2"/>
      <c r="I27" s="2"/>
    </row>
    <row r="28" spans="2:9" x14ac:dyDescent="0.25">
      <c r="C28" s="2"/>
      <c r="D28" s="2"/>
      <c r="E28" s="2"/>
      <c r="F28" s="2"/>
      <c r="G28" s="2"/>
      <c r="H28" s="2"/>
      <c r="I28" s="2"/>
    </row>
    <row r="29" spans="2:9" x14ac:dyDescent="0.25">
      <c r="C29" s="2"/>
      <c r="D29" s="2"/>
      <c r="E29" s="2"/>
      <c r="F29" s="2"/>
      <c r="G29" s="2"/>
      <c r="H29" s="2"/>
      <c r="I29" s="2"/>
    </row>
    <row r="30" spans="2:9" x14ac:dyDescent="0.25">
      <c r="H30" s="2"/>
      <c r="I30" s="2"/>
    </row>
    <row r="31" spans="2:9" x14ac:dyDescent="0.25">
      <c r="H31" s="2"/>
      <c r="I31" s="2"/>
    </row>
    <row r="32" spans="2:9" x14ac:dyDescent="0.25">
      <c r="H32" s="2"/>
      <c r="I32" s="2"/>
    </row>
    <row r="33" spans="8:9" x14ac:dyDescent="0.25">
      <c r="H33" s="2"/>
      <c r="I33" s="2"/>
    </row>
    <row r="34" spans="8:9" x14ac:dyDescent="0.25">
      <c r="H34" s="2"/>
      <c r="I34" s="2"/>
    </row>
    <row r="35" spans="8:9" x14ac:dyDescent="0.25">
      <c r="H35" s="2"/>
      <c r="I35" s="2"/>
    </row>
  </sheetData>
  <sheetProtection sheet="1" objects="1" scenarios="1"/>
  <mergeCells count="4">
    <mergeCell ref="J3:J4"/>
    <mergeCell ref="J6:J7"/>
    <mergeCell ref="J9:J10"/>
    <mergeCell ref="J12:J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5"/>
  <sheetViews>
    <sheetView workbookViewId="0">
      <selection activeCell="H60" sqref="H60"/>
    </sheetView>
  </sheetViews>
  <sheetFormatPr defaultRowHeight="15" x14ac:dyDescent="0.25"/>
  <cols>
    <col min="1" max="1" width="9.140625" style="1"/>
    <col min="2" max="2" width="22.7109375" style="1" customWidth="1"/>
    <col min="3" max="3" width="12.5703125" style="1" customWidth="1"/>
    <col min="4" max="4" width="13.5703125" style="1" customWidth="1"/>
    <col min="5" max="5" width="11.42578125" style="1" customWidth="1"/>
    <col min="6" max="6" width="11.5703125" style="1" customWidth="1"/>
    <col min="7" max="7" width="12" style="1" customWidth="1"/>
    <col min="8" max="8" width="8.85546875" style="1" customWidth="1"/>
    <col min="9" max="9" width="9.140625" style="1"/>
    <col min="10" max="10" width="15.28515625" style="1" customWidth="1"/>
    <col min="11" max="11" width="12.28515625" style="1" customWidth="1"/>
    <col min="12" max="13" width="11.85546875" style="1" bestFit="1" customWidth="1"/>
    <col min="14" max="14" width="14" style="1" customWidth="1"/>
    <col min="15" max="15" width="11.5703125" style="1" customWidth="1"/>
    <col min="16" max="16" width="4.85546875" style="1" customWidth="1"/>
    <col min="17" max="17" width="9.7109375" style="1" customWidth="1"/>
    <col min="18" max="16384" width="9.140625" style="1"/>
  </cols>
  <sheetData>
    <row r="1" spans="2:17" ht="28.5" customHeight="1" x14ac:dyDescent="0.25">
      <c r="C1" s="4" t="s">
        <v>7</v>
      </c>
      <c r="L1" s="4" t="s">
        <v>12</v>
      </c>
    </row>
    <row r="3" spans="2:17" ht="30.75" thickBot="1" x14ac:dyDescent="0.3">
      <c r="C3" s="14" t="s">
        <v>8</v>
      </c>
      <c r="D3" s="14" t="s">
        <v>9</v>
      </c>
      <c r="E3" s="14" t="s">
        <v>24</v>
      </c>
      <c r="F3" s="15" t="s">
        <v>19</v>
      </c>
      <c r="H3" s="50" t="s">
        <v>25</v>
      </c>
      <c r="L3" s="1" t="s">
        <v>8</v>
      </c>
      <c r="M3" s="1" t="s">
        <v>9</v>
      </c>
      <c r="N3" s="14" t="s">
        <v>24</v>
      </c>
      <c r="O3" s="15" t="s">
        <v>19</v>
      </c>
      <c r="Q3" s="47" t="s">
        <v>26</v>
      </c>
    </row>
    <row r="4" spans="2:17" ht="15.75" thickBot="1" x14ac:dyDescent="0.3">
      <c r="B4" s="12">
        <v>42461</v>
      </c>
      <c r="C4" s="5">
        <v>1</v>
      </c>
      <c r="D4" s="6">
        <v>1099</v>
      </c>
      <c r="E4" s="42">
        <v>200</v>
      </c>
      <c r="F4" s="48">
        <f>E4/H4</f>
        <v>50</v>
      </c>
      <c r="H4" s="49">
        <v>4</v>
      </c>
      <c r="K4" s="56" t="s">
        <v>27</v>
      </c>
      <c r="L4" s="26">
        <v>1</v>
      </c>
      <c r="M4" s="27">
        <v>2499</v>
      </c>
      <c r="N4" s="27"/>
      <c r="O4" s="28">
        <v>0</v>
      </c>
      <c r="P4" s="23"/>
      <c r="Q4" s="51">
        <v>12</v>
      </c>
    </row>
    <row r="5" spans="2:17" x14ac:dyDescent="0.25">
      <c r="C5" s="7">
        <v>1100</v>
      </c>
      <c r="D5" s="8">
        <v>1599</v>
      </c>
      <c r="E5" s="43">
        <v>1926</v>
      </c>
      <c r="F5" s="45">
        <f>E5/H4</f>
        <v>481.5</v>
      </c>
      <c r="K5" s="57"/>
      <c r="L5" s="24">
        <v>2500</v>
      </c>
      <c r="M5" s="8">
        <v>2829</v>
      </c>
      <c r="N5" s="43">
        <v>23278</v>
      </c>
      <c r="O5" s="53">
        <f>N5/Q4</f>
        <v>1939.8333333333333</v>
      </c>
      <c r="P5" s="2"/>
    </row>
    <row r="6" spans="2:17" x14ac:dyDescent="0.25">
      <c r="C6" s="7">
        <v>1600</v>
      </c>
      <c r="D6" s="8">
        <v>2499</v>
      </c>
      <c r="E6" s="43">
        <v>2695</v>
      </c>
      <c r="F6" s="45">
        <f>E6/H4</f>
        <v>673.75</v>
      </c>
      <c r="K6" s="3"/>
      <c r="L6" s="24">
        <v>2830</v>
      </c>
      <c r="M6" s="8">
        <v>3149</v>
      </c>
      <c r="N6" s="43">
        <v>24190</v>
      </c>
      <c r="O6" s="53">
        <f>N6/Q4</f>
        <v>2015.8333333333333</v>
      </c>
    </row>
    <row r="7" spans="2:17" ht="15.75" customHeight="1" thickBot="1" x14ac:dyDescent="0.3">
      <c r="C7" s="9">
        <v>2500</v>
      </c>
      <c r="D7" s="10" t="s">
        <v>10</v>
      </c>
      <c r="E7" s="10"/>
      <c r="F7" s="46">
        <v>0.56399999999999995</v>
      </c>
      <c r="G7" s="1" t="s">
        <v>11</v>
      </c>
      <c r="K7" s="3"/>
      <c r="L7" s="9">
        <v>3150</v>
      </c>
      <c r="M7" s="25" t="s">
        <v>10</v>
      </c>
      <c r="N7" s="52">
        <v>25100</v>
      </c>
      <c r="O7" s="54">
        <f>N7/Q4</f>
        <v>2091.6666666666665</v>
      </c>
    </row>
    <row r="8" spans="2:17" ht="15.75" thickBot="1" x14ac:dyDescent="0.3">
      <c r="C8" s="11"/>
      <c r="D8" s="11"/>
      <c r="E8" s="11"/>
      <c r="F8" s="11"/>
      <c r="H8" s="47"/>
      <c r="K8" s="3"/>
    </row>
    <row r="9" spans="2:17" ht="15.75" thickBot="1" x14ac:dyDescent="0.3">
      <c r="B9" s="12">
        <v>42491</v>
      </c>
      <c r="C9" s="5">
        <v>1</v>
      </c>
      <c r="D9" s="6">
        <v>1099</v>
      </c>
      <c r="E9" s="42">
        <v>200</v>
      </c>
      <c r="F9" s="48">
        <f>E9/H9</f>
        <v>50</v>
      </c>
      <c r="H9" s="49">
        <v>4</v>
      </c>
      <c r="K9" s="40" t="s">
        <v>28</v>
      </c>
      <c r="L9" s="26">
        <v>1</v>
      </c>
      <c r="M9" s="27">
        <v>2499</v>
      </c>
      <c r="N9" s="27"/>
      <c r="O9" s="28">
        <v>0</v>
      </c>
      <c r="Q9" s="51">
        <v>12</v>
      </c>
    </row>
    <row r="10" spans="2:17" x14ac:dyDescent="0.25">
      <c r="C10" s="7">
        <v>1100</v>
      </c>
      <c r="D10" s="8">
        <v>1599</v>
      </c>
      <c r="E10" s="43">
        <v>1926</v>
      </c>
      <c r="F10" s="45">
        <f>E10/H9</f>
        <v>481.5</v>
      </c>
      <c r="K10" s="3"/>
      <c r="L10" s="24">
        <v>2500</v>
      </c>
      <c r="M10" s="8">
        <v>2829</v>
      </c>
      <c r="N10" s="43">
        <v>23278</v>
      </c>
      <c r="O10" s="53">
        <f>N10/Q9</f>
        <v>1939.8333333333333</v>
      </c>
    </row>
    <row r="11" spans="2:17" x14ac:dyDescent="0.25">
      <c r="C11" s="7">
        <v>1600</v>
      </c>
      <c r="D11" s="8">
        <v>2499</v>
      </c>
      <c r="E11" s="43">
        <v>2695</v>
      </c>
      <c r="F11" s="45">
        <f>E11/H9</f>
        <v>673.75</v>
      </c>
      <c r="K11" s="3"/>
      <c r="L11" s="24">
        <v>2830</v>
      </c>
      <c r="M11" s="8">
        <v>3149</v>
      </c>
      <c r="N11" s="43">
        <v>24190</v>
      </c>
      <c r="O11" s="53">
        <f>N11/Q9</f>
        <v>2015.8333333333333</v>
      </c>
    </row>
    <row r="12" spans="2:17" ht="15.75" thickBot="1" x14ac:dyDescent="0.3">
      <c r="C12" s="9">
        <v>2500</v>
      </c>
      <c r="D12" s="10" t="s">
        <v>10</v>
      </c>
      <c r="E12" s="10"/>
      <c r="F12" s="46">
        <v>0.56399999999999995</v>
      </c>
      <c r="G12" s="1" t="s">
        <v>11</v>
      </c>
      <c r="K12" s="3"/>
      <c r="L12" s="9">
        <v>3150</v>
      </c>
      <c r="M12" s="25" t="s">
        <v>10</v>
      </c>
      <c r="N12" s="52">
        <v>25100</v>
      </c>
      <c r="O12" s="54">
        <f>N12/Q9</f>
        <v>2091.6666666666665</v>
      </c>
    </row>
    <row r="13" spans="2:17" ht="15.75" thickBot="1" x14ac:dyDescent="0.3">
      <c r="C13" s="11"/>
      <c r="D13" s="11"/>
      <c r="E13" s="11"/>
      <c r="F13" s="11"/>
      <c r="K13" s="3"/>
    </row>
    <row r="14" spans="2:17" ht="15.75" thickBot="1" x14ac:dyDescent="0.3">
      <c r="B14" s="12">
        <v>42522</v>
      </c>
      <c r="C14" s="5">
        <v>1</v>
      </c>
      <c r="D14" s="6">
        <v>1099</v>
      </c>
      <c r="E14" s="42">
        <v>200</v>
      </c>
      <c r="F14" s="48">
        <f>E14/H14</f>
        <v>50</v>
      </c>
      <c r="H14" s="49">
        <v>4</v>
      </c>
      <c r="K14" s="3"/>
    </row>
    <row r="15" spans="2:17" x14ac:dyDescent="0.25">
      <c r="C15" s="7">
        <v>1100</v>
      </c>
      <c r="D15" s="8">
        <v>1599</v>
      </c>
      <c r="E15" s="43">
        <v>1926</v>
      </c>
      <c r="F15" s="45">
        <f>E15/H14</f>
        <v>481.5</v>
      </c>
      <c r="K15" s="3"/>
    </row>
    <row r="16" spans="2:17" x14ac:dyDescent="0.25">
      <c r="C16" s="7">
        <v>1600</v>
      </c>
      <c r="D16" s="8">
        <v>2499</v>
      </c>
      <c r="E16" s="43">
        <v>2695</v>
      </c>
      <c r="F16" s="45">
        <f>E16/H14</f>
        <v>673.75</v>
      </c>
      <c r="K16" s="3"/>
    </row>
    <row r="17" spans="2:11" ht="15.75" thickBot="1" x14ac:dyDescent="0.3">
      <c r="C17" s="9">
        <v>2500</v>
      </c>
      <c r="D17" s="10" t="s">
        <v>10</v>
      </c>
      <c r="E17" s="10"/>
      <c r="F17" s="46">
        <v>0.56399999999999995</v>
      </c>
      <c r="G17" s="1" t="s">
        <v>11</v>
      </c>
      <c r="K17" s="3"/>
    </row>
    <row r="18" spans="2:11" ht="15.75" thickBot="1" x14ac:dyDescent="0.3">
      <c r="C18" s="11"/>
      <c r="D18" s="11"/>
      <c r="E18" s="11"/>
      <c r="F18" s="11"/>
      <c r="K18" s="3"/>
    </row>
    <row r="19" spans="2:11" ht="15.75" thickBot="1" x14ac:dyDescent="0.3">
      <c r="B19" s="12">
        <v>42552</v>
      </c>
      <c r="C19" s="5">
        <v>1</v>
      </c>
      <c r="D19" s="6">
        <v>1099</v>
      </c>
      <c r="E19" s="42">
        <v>200</v>
      </c>
      <c r="F19" s="48">
        <f>E19/H19</f>
        <v>50</v>
      </c>
      <c r="H19" s="49">
        <v>4</v>
      </c>
      <c r="K19" s="3"/>
    </row>
    <row r="20" spans="2:11" x14ac:dyDescent="0.25">
      <c r="C20" s="7">
        <v>1100</v>
      </c>
      <c r="D20" s="8">
        <v>1599</v>
      </c>
      <c r="E20" s="43">
        <v>1926</v>
      </c>
      <c r="F20" s="45">
        <f>E20/H19</f>
        <v>481.5</v>
      </c>
      <c r="K20" s="3"/>
    </row>
    <row r="21" spans="2:11" x14ac:dyDescent="0.25">
      <c r="C21" s="7">
        <v>1600</v>
      </c>
      <c r="D21" s="8">
        <v>2499</v>
      </c>
      <c r="E21" s="43">
        <v>2695</v>
      </c>
      <c r="F21" s="45">
        <f>E21/H19</f>
        <v>673.75</v>
      </c>
      <c r="K21" s="3"/>
    </row>
    <row r="22" spans="2:11" ht="15.75" thickBot="1" x14ac:dyDescent="0.3">
      <c r="C22" s="9">
        <v>2500</v>
      </c>
      <c r="D22" s="10" t="s">
        <v>10</v>
      </c>
      <c r="E22" s="10"/>
      <c r="F22" s="46">
        <v>0.56399999999999995</v>
      </c>
      <c r="G22" s="1" t="s">
        <v>11</v>
      </c>
      <c r="K22" s="3"/>
    </row>
    <row r="23" spans="2:11" ht="15.75" thickBot="1" x14ac:dyDescent="0.3">
      <c r="C23" s="11"/>
      <c r="D23" s="11"/>
      <c r="E23" s="11"/>
      <c r="F23" s="11"/>
      <c r="K23" s="3"/>
    </row>
    <row r="24" spans="2:11" ht="15.75" thickBot="1" x14ac:dyDescent="0.3">
      <c r="B24" s="12">
        <v>42583</v>
      </c>
      <c r="C24" s="5">
        <v>1</v>
      </c>
      <c r="D24" s="6">
        <v>1099</v>
      </c>
      <c r="E24" s="42">
        <v>100</v>
      </c>
      <c r="F24" s="48">
        <f>E24/H24</f>
        <v>50</v>
      </c>
      <c r="H24" s="49">
        <v>2</v>
      </c>
      <c r="K24" s="3"/>
    </row>
    <row r="25" spans="2:11" x14ac:dyDescent="0.25">
      <c r="C25" s="7">
        <v>1100</v>
      </c>
      <c r="D25" s="8">
        <v>1599</v>
      </c>
      <c r="E25" s="43">
        <v>748</v>
      </c>
      <c r="F25" s="45">
        <f>E25/H24</f>
        <v>374</v>
      </c>
      <c r="K25" s="3"/>
    </row>
    <row r="26" spans="2:11" x14ac:dyDescent="0.25">
      <c r="C26" s="7">
        <v>1600</v>
      </c>
      <c r="D26" s="8">
        <v>2499</v>
      </c>
      <c r="E26" s="43">
        <v>1047</v>
      </c>
      <c r="F26" s="45">
        <f>E26/H24</f>
        <v>523.5</v>
      </c>
      <c r="K26" s="3"/>
    </row>
    <row r="27" spans="2:11" ht="15.75" thickBot="1" x14ac:dyDescent="0.3">
      <c r="C27" s="9">
        <v>2500</v>
      </c>
      <c r="D27" s="10" t="s">
        <v>10</v>
      </c>
      <c r="E27" s="10"/>
      <c r="F27" s="46">
        <v>0.438</v>
      </c>
      <c r="G27" s="1" t="s">
        <v>11</v>
      </c>
      <c r="K27" s="3"/>
    </row>
    <row r="28" spans="2:11" ht="15.75" thickBot="1" x14ac:dyDescent="0.3">
      <c r="C28" s="11"/>
      <c r="D28" s="11"/>
      <c r="E28" s="11"/>
      <c r="F28" s="11"/>
      <c r="K28" s="3"/>
    </row>
    <row r="29" spans="2:11" ht="15.75" thickBot="1" x14ac:dyDescent="0.3">
      <c r="B29" s="12">
        <v>42614</v>
      </c>
      <c r="C29" s="5">
        <v>1</v>
      </c>
      <c r="D29" s="6">
        <v>1099</v>
      </c>
      <c r="E29" s="42">
        <v>100</v>
      </c>
      <c r="F29" s="48">
        <f>E29/H29</f>
        <v>50</v>
      </c>
      <c r="H29" s="49">
        <v>2</v>
      </c>
      <c r="J29" s="13"/>
      <c r="K29" s="3"/>
    </row>
    <row r="30" spans="2:11" x14ac:dyDescent="0.25">
      <c r="C30" s="7">
        <v>1100</v>
      </c>
      <c r="D30" s="8">
        <v>1599</v>
      </c>
      <c r="E30" s="43">
        <v>748</v>
      </c>
      <c r="F30" s="45">
        <f>E30/H29</f>
        <v>374</v>
      </c>
      <c r="K30" s="3"/>
    </row>
    <row r="31" spans="2:11" x14ac:dyDescent="0.25">
      <c r="C31" s="7">
        <v>1600</v>
      </c>
      <c r="D31" s="8">
        <v>2499</v>
      </c>
      <c r="E31" s="43">
        <v>1047</v>
      </c>
      <c r="F31" s="45">
        <f>E31/H29</f>
        <v>523.5</v>
      </c>
      <c r="K31" s="3"/>
    </row>
    <row r="32" spans="2:11" ht="15.75" thickBot="1" x14ac:dyDescent="0.3">
      <c r="C32" s="9">
        <v>2500</v>
      </c>
      <c r="D32" s="10" t="s">
        <v>10</v>
      </c>
      <c r="E32" s="10"/>
      <c r="F32" s="46">
        <v>0.438</v>
      </c>
      <c r="G32" s="1" t="s">
        <v>11</v>
      </c>
      <c r="K32" s="3"/>
    </row>
    <row r="33" spans="2:11" ht="15.75" thickBot="1" x14ac:dyDescent="0.3">
      <c r="C33" s="11"/>
      <c r="D33" s="11"/>
      <c r="E33" s="11"/>
      <c r="F33" s="11"/>
      <c r="K33" s="3"/>
    </row>
    <row r="34" spans="2:11" ht="15.75" thickBot="1" x14ac:dyDescent="0.3">
      <c r="B34" s="12">
        <v>42644</v>
      </c>
      <c r="C34" s="5">
        <v>1</v>
      </c>
      <c r="D34" s="6">
        <v>1099</v>
      </c>
      <c r="E34" s="42">
        <v>200</v>
      </c>
      <c r="F34" s="48">
        <f>E34/H34</f>
        <v>50</v>
      </c>
      <c r="H34" s="49">
        <v>4</v>
      </c>
      <c r="K34" s="3"/>
    </row>
    <row r="35" spans="2:11" x14ac:dyDescent="0.25">
      <c r="C35" s="7">
        <v>1100</v>
      </c>
      <c r="D35" s="8">
        <v>1599</v>
      </c>
      <c r="E35" s="43">
        <v>1782</v>
      </c>
      <c r="F35" s="45">
        <f>E35/H34</f>
        <v>445.5</v>
      </c>
      <c r="K35" s="3"/>
    </row>
    <row r="36" spans="2:11" x14ac:dyDescent="0.25">
      <c r="C36" s="7">
        <v>1600</v>
      </c>
      <c r="D36" s="8">
        <v>2499</v>
      </c>
      <c r="E36" s="43">
        <v>2495</v>
      </c>
      <c r="F36" s="45">
        <f>E36/H34</f>
        <v>623.75</v>
      </c>
      <c r="K36" s="3"/>
    </row>
    <row r="37" spans="2:11" ht="15.75" thickBot="1" x14ac:dyDescent="0.3">
      <c r="C37" s="9">
        <v>2500</v>
      </c>
      <c r="D37" s="10" t="s">
        <v>10</v>
      </c>
      <c r="E37" s="10"/>
      <c r="F37" s="46">
        <v>0.52200000000000002</v>
      </c>
      <c r="G37" s="1" t="s">
        <v>11</v>
      </c>
      <c r="K37" s="3"/>
    </row>
    <row r="38" spans="2:11" ht="15.75" thickBot="1" x14ac:dyDescent="0.3">
      <c r="C38" s="11"/>
      <c r="D38" s="11"/>
      <c r="E38" s="11"/>
      <c r="F38" s="11"/>
      <c r="K38" s="3"/>
    </row>
    <row r="39" spans="2:11" ht="15.75" thickBot="1" x14ac:dyDescent="0.3">
      <c r="B39" s="12">
        <v>42675</v>
      </c>
      <c r="C39" s="5">
        <v>1</v>
      </c>
      <c r="D39" s="6">
        <v>1099</v>
      </c>
      <c r="E39" s="42">
        <v>200</v>
      </c>
      <c r="F39" s="48">
        <f>E39/H39</f>
        <v>50</v>
      </c>
      <c r="H39" s="49">
        <v>4</v>
      </c>
      <c r="K39" s="3"/>
    </row>
    <row r="40" spans="2:11" x14ac:dyDescent="0.25">
      <c r="C40" s="7">
        <v>1100</v>
      </c>
      <c r="D40" s="8">
        <v>1599</v>
      </c>
      <c r="E40" s="43">
        <v>1782</v>
      </c>
      <c r="F40" s="45">
        <f>E40/H39</f>
        <v>445.5</v>
      </c>
      <c r="K40" s="3"/>
    </row>
    <row r="41" spans="2:11" x14ac:dyDescent="0.25">
      <c r="C41" s="7">
        <v>1600</v>
      </c>
      <c r="D41" s="8">
        <v>2499</v>
      </c>
      <c r="E41" s="43">
        <v>2495</v>
      </c>
      <c r="F41" s="45">
        <f>E41/H39</f>
        <v>623.75</v>
      </c>
      <c r="K41" s="3"/>
    </row>
    <row r="42" spans="2:11" ht="15.75" thickBot="1" x14ac:dyDescent="0.3">
      <c r="C42" s="9">
        <v>2500</v>
      </c>
      <c r="D42" s="10" t="s">
        <v>10</v>
      </c>
      <c r="E42" s="10"/>
      <c r="F42" s="46">
        <v>0.52200000000000002</v>
      </c>
      <c r="G42" s="1" t="s">
        <v>11</v>
      </c>
      <c r="K42" s="3"/>
    </row>
    <row r="43" spans="2:11" ht="15.75" thickBot="1" x14ac:dyDescent="0.3">
      <c r="C43" s="11"/>
      <c r="D43" s="11"/>
      <c r="E43" s="11"/>
      <c r="F43" s="11"/>
      <c r="K43" s="3"/>
    </row>
    <row r="44" spans="2:11" ht="15.75" thickBot="1" x14ac:dyDescent="0.3">
      <c r="B44" s="12">
        <v>42705</v>
      </c>
      <c r="C44" s="5">
        <v>1</v>
      </c>
      <c r="D44" s="6">
        <v>1099</v>
      </c>
      <c r="E44" s="42">
        <v>200</v>
      </c>
      <c r="F44" s="48">
        <f>E44/H44</f>
        <v>50</v>
      </c>
      <c r="H44" s="49">
        <v>4</v>
      </c>
      <c r="K44" s="3"/>
    </row>
    <row r="45" spans="2:11" x14ac:dyDescent="0.25">
      <c r="C45" s="7">
        <v>1100</v>
      </c>
      <c r="D45" s="8">
        <v>1599</v>
      </c>
      <c r="E45" s="43">
        <v>1782</v>
      </c>
      <c r="F45" s="45">
        <f>E45/H44</f>
        <v>445.5</v>
      </c>
      <c r="K45" s="3"/>
    </row>
    <row r="46" spans="2:11" x14ac:dyDescent="0.25">
      <c r="C46" s="7">
        <v>1600</v>
      </c>
      <c r="D46" s="8">
        <v>2499</v>
      </c>
      <c r="E46" s="43">
        <v>2495</v>
      </c>
      <c r="F46" s="45">
        <f>E46/H44</f>
        <v>623.75</v>
      </c>
      <c r="K46" s="3"/>
    </row>
    <row r="47" spans="2:11" ht="15.75" thickBot="1" x14ac:dyDescent="0.3">
      <c r="C47" s="9">
        <v>2500</v>
      </c>
      <c r="D47" s="10" t="s">
        <v>10</v>
      </c>
      <c r="E47" s="10"/>
      <c r="F47" s="46">
        <v>0.52200000000000002</v>
      </c>
      <c r="G47" s="1" t="s">
        <v>11</v>
      </c>
      <c r="K47" s="3"/>
    </row>
    <row r="48" spans="2:11" ht="15.75" thickBot="1" x14ac:dyDescent="0.3">
      <c r="C48" s="11"/>
      <c r="D48" s="11"/>
      <c r="E48" s="11"/>
      <c r="F48" s="11"/>
      <c r="K48" s="3"/>
    </row>
    <row r="49" spans="2:19" ht="15.75" thickBot="1" x14ac:dyDescent="0.3">
      <c r="B49" s="12">
        <v>42736</v>
      </c>
      <c r="C49" s="5">
        <v>1</v>
      </c>
      <c r="D49" s="6">
        <v>1099</v>
      </c>
      <c r="E49" s="42">
        <v>200</v>
      </c>
      <c r="F49" s="48">
        <f>E49/H49</f>
        <v>50</v>
      </c>
      <c r="H49" s="49">
        <v>4</v>
      </c>
      <c r="K49" s="3"/>
    </row>
    <row r="50" spans="2:19" x14ac:dyDescent="0.25">
      <c r="C50" s="7">
        <v>1100</v>
      </c>
      <c r="D50" s="8">
        <v>1599</v>
      </c>
      <c r="E50" s="43">
        <v>1782</v>
      </c>
      <c r="F50" s="45">
        <f>E50/H49</f>
        <v>445.5</v>
      </c>
      <c r="K50" s="3"/>
    </row>
    <row r="51" spans="2:19" x14ac:dyDescent="0.25">
      <c r="C51" s="7">
        <v>1600</v>
      </c>
      <c r="D51" s="8">
        <v>2499</v>
      </c>
      <c r="E51" s="43">
        <v>2495</v>
      </c>
      <c r="F51" s="45">
        <f>E51/H49</f>
        <v>623.75</v>
      </c>
      <c r="K51" s="3"/>
    </row>
    <row r="52" spans="2:19" ht="15.75" thickBot="1" x14ac:dyDescent="0.3">
      <c r="C52" s="9">
        <v>2500</v>
      </c>
      <c r="D52" s="10" t="s">
        <v>10</v>
      </c>
      <c r="E52" s="10"/>
      <c r="F52" s="46">
        <v>0.52200000000000002</v>
      </c>
      <c r="G52" s="1" t="s">
        <v>11</v>
      </c>
      <c r="K52" s="3"/>
    </row>
    <row r="53" spans="2:19" ht="15.75" thickBot="1" x14ac:dyDescent="0.3">
      <c r="C53" s="11"/>
      <c r="D53" s="11"/>
      <c r="E53" s="11"/>
      <c r="F53" s="11"/>
      <c r="K53" s="3"/>
    </row>
    <row r="54" spans="2:19" ht="15.75" thickBot="1" x14ac:dyDescent="0.3">
      <c r="B54" s="12">
        <v>42767</v>
      </c>
      <c r="C54" s="5">
        <v>1</v>
      </c>
      <c r="D54" s="6">
        <v>1099</v>
      </c>
      <c r="E54" s="42">
        <v>114</v>
      </c>
      <c r="F54" s="44">
        <f>E54/H54</f>
        <v>57</v>
      </c>
      <c r="H54" s="49">
        <v>2</v>
      </c>
      <c r="K54" s="3"/>
    </row>
    <row r="55" spans="2:19" x14ac:dyDescent="0.25">
      <c r="C55" s="7">
        <v>1100</v>
      </c>
      <c r="D55" s="8">
        <v>1599</v>
      </c>
      <c r="E55" s="43">
        <v>1014</v>
      </c>
      <c r="F55" s="45">
        <f>E55/H54</f>
        <v>507</v>
      </c>
      <c r="K55" s="3"/>
    </row>
    <row r="56" spans="2:19" x14ac:dyDescent="0.25">
      <c r="C56" s="7">
        <v>1600</v>
      </c>
      <c r="D56" s="8">
        <v>2499</v>
      </c>
      <c r="E56" s="43">
        <v>1419</v>
      </c>
      <c r="F56" s="45">
        <f>E56/H54</f>
        <v>709.5</v>
      </c>
      <c r="K56" s="3"/>
    </row>
    <row r="57" spans="2:19" ht="15.75" thickBot="1" x14ac:dyDescent="0.3">
      <c r="C57" s="9">
        <v>2500</v>
      </c>
      <c r="D57" s="10" t="s">
        <v>10</v>
      </c>
      <c r="E57" s="10"/>
      <c r="F57" s="46">
        <v>0.59399999999999997</v>
      </c>
      <c r="G57" s="1" t="s">
        <v>11</v>
      </c>
      <c r="K57" s="22"/>
      <c r="P57" s="22"/>
      <c r="Q57" s="22"/>
      <c r="R57" s="22"/>
      <c r="S57" s="22"/>
    </row>
    <row r="58" spans="2:19" ht="15.75" thickBot="1" x14ac:dyDescent="0.3">
      <c r="C58" s="11"/>
      <c r="D58" s="11"/>
      <c r="E58" s="11"/>
      <c r="F58" s="11"/>
      <c r="K58" s="22"/>
      <c r="L58" s="22"/>
      <c r="M58" s="22"/>
      <c r="N58" s="22"/>
      <c r="O58" s="22"/>
      <c r="P58" s="22"/>
      <c r="Q58" s="22"/>
      <c r="R58" s="22"/>
      <c r="S58" s="22"/>
    </row>
    <row r="59" spans="2:19" ht="15.75" thickBot="1" x14ac:dyDescent="0.3">
      <c r="B59" s="12">
        <v>42795</v>
      </c>
      <c r="C59" s="5">
        <v>1</v>
      </c>
      <c r="D59" s="6">
        <v>1099</v>
      </c>
      <c r="E59" s="42">
        <v>114</v>
      </c>
      <c r="F59" s="44">
        <f>E59/H59</f>
        <v>57</v>
      </c>
      <c r="H59" s="49">
        <v>2</v>
      </c>
      <c r="K59" s="22"/>
      <c r="L59" s="22"/>
      <c r="M59" s="22"/>
      <c r="N59" s="22"/>
      <c r="O59" s="22"/>
      <c r="P59" s="22"/>
      <c r="Q59" s="22"/>
      <c r="R59" s="22"/>
      <c r="S59" s="22"/>
    </row>
    <row r="60" spans="2:19" x14ac:dyDescent="0.25">
      <c r="B60" s="12"/>
      <c r="C60" s="7">
        <v>1100</v>
      </c>
      <c r="D60" s="8">
        <v>1599</v>
      </c>
      <c r="E60" s="43">
        <v>1014</v>
      </c>
      <c r="F60" s="45">
        <f>E60/H59</f>
        <v>507</v>
      </c>
      <c r="K60" s="22"/>
      <c r="L60" s="22"/>
      <c r="M60" s="22"/>
      <c r="N60" s="22"/>
      <c r="O60" s="22"/>
      <c r="P60" s="22"/>
      <c r="Q60" s="22"/>
      <c r="R60" s="22"/>
      <c r="S60" s="22"/>
    </row>
    <row r="61" spans="2:19" x14ac:dyDescent="0.25">
      <c r="B61" s="12"/>
      <c r="C61" s="7">
        <v>1600</v>
      </c>
      <c r="D61" s="8">
        <v>2499</v>
      </c>
      <c r="E61" s="43">
        <v>1419</v>
      </c>
      <c r="F61" s="45">
        <f>E61/H59</f>
        <v>709.5</v>
      </c>
      <c r="K61" s="22"/>
      <c r="L61" s="22"/>
      <c r="M61" s="22"/>
      <c r="N61" s="22"/>
      <c r="O61" s="22"/>
      <c r="P61" s="22"/>
      <c r="Q61" s="22"/>
      <c r="R61" s="22"/>
      <c r="S61" s="22"/>
    </row>
    <row r="62" spans="2:19" ht="15.75" thickBot="1" x14ac:dyDescent="0.3">
      <c r="B62" s="12"/>
      <c r="C62" s="9">
        <v>2500</v>
      </c>
      <c r="D62" s="10" t="s">
        <v>10</v>
      </c>
      <c r="E62" s="10"/>
      <c r="F62" s="46">
        <v>0.59399999999999997</v>
      </c>
      <c r="G62" s="1" t="s">
        <v>11</v>
      </c>
      <c r="K62" s="22"/>
      <c r="L62" s="22"/>
      <c r="M62" s="22"/>
      <c r="N62" s="22"/>
      <c r="O62" s="22"/>
      <c r="P62" s="22"/>
      <c r="Q62" s="22"/>
      <c r="R62" s="22"/>
      <c r="S62" s="22"/>
    </row>
    <row r="63" spans="2:19" x14ac:dyDescent="0.25">
      <c r="B63" s="12"/>
      <c r="L63" s="22"/>
      <c r="M63" s="22"/>
      <c r="N63" s="22"/>
      <c r="O63" s="22"/>
    </row>
    <row r="64" spans="2:19" ht="15.75" thickBot="1" x14ac:dyDescent="0.3">
      <c r="B64" s="12"/>
    </row>
    <row r="65" spans="2:9" x14ac:dyDescent="0.25">
      <c r="B65" s="12"/>
      <c r="C65" s="84" t="s">
        <v>18</v>
      </c>
      <c r="D65" s="85"/>
      <c r="E65" s="85"/>
      <c r="F65" s="85"/>
      <c r="G65" s="85"/>
      <c r="H65" s="85"/>
      <c r="I65" s="86"/>
    </row>
    <row r="66" spans="2:9" ht="15.75" thickBot="1" x14ac:dyDescent="0.3">
      <c r="B66" s="12"/>
      <c r="C66" s="87"/>
      <c r="D66" s="88"/>
      <c r="E66" s="88"/>
      <c r="F66" s="88"/>
      <c r="G66" s="88"/>
      <c r="H66" s="88"/>
      <c r="I66" s="89"/>
    </row>
    <row r="67" spans="2:9" x14ac:dyDescent="0.25">
      <c r="B67" s="12"/>
    </row>
    <row r="68" spans="2:9" x14ac:dyDescent="0.25">
      <c r="B68" s="12"/>
    </row>
    <row r="69" spans="2:9" x14ac:dyDescent="0.25">
      <c r="B69" s="12"/>
    </row>
    <row r="70" spans="2:9" x14ac:dyDescent="0.25">
      <c r="B70" s="12"/>
    </row>
    <row r="71" spans="2:9" x14ac:dyDescent="0.25">
      <c r="B71" s="12"/>
    </row>
    <row r="72" spans="2:9" x14ac:dyDescent="0.25">
      <c r="B72" s="12"/>
    </row>
    <row r="73" spans="2:9" x14ac:dyDescent="0.25">
      <c r="B73" s="12"/>
    </row>
    <row r="74" spans="2:9" x14ac:dyDescent="0.25">
      <c r="B74" s="12"/>
    </row>
    <row r="75" spans="2:9" x14ac:dyDescent="0.25">
      <c r="B75" s="12"/>
    </row>
  </sheetData>
  <sheetProtection sheet="1" objects="1" scenarios="1"/>
  <mergeCells count="1">
    <mergeCell ref="C65:I66"/>
  </mergeCells>
  <pageMargins left="0.7" right="0.7" top="0.75" bottom="0.75" header="0.3" footer="0.3"/>
  <pageSetup paperSize="9" orientation="portrait" horizontalDpi="4294967295" verticalDpi="4294967295" r:id="rId1"/>
  <ignoredErrors>
    <ignoredError sqref="F8 F4:F5 F23 F24:F26 F34:F36 F53 F58 F54:F56 O5:O7 O10:O12 F6 F13 F18 F9:F12 F19:F21 F14:F17 F29:F31 F48 F39:F47 F49:F51 F59:F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D8278B33D9646B12AB1635B98D01C" ma:contentTypeVersion="" ma:contentTypeDescription="Create a new document." ma:contentTypeScope="" ma:versionID="0dc27557eea8bfc212b054ee96a33af8">
  <xsd:schema xmlns:xsd="http://www.w3.org/2001/XMLSchema" xmlns:xs="http://www.w3.org/2001/XMLSchema" xmlns:p="http://schemas.microsoft.com/office/2006/metadata/properties" xmlns:ns2="1c7d3551-5694-4f12-b35a-d9a7a462ea4b" xmlns:ns3="9154ac1c-28d4-46c7-b504-e2b8691f73ef" targetNamespace="http://schemas.microsoft.com/office/2006/metadata/properties" ma:root="true" ma:fieldsID="f45dd5cfee5881fd32901a8979d6f38d" ns2:_="" ns3:_="">
    <xsd:import namespace="1c7d3551-5694-4f12-b35a-d9a7a462ea4b"/>
    <xsd:import namespace="9154ac1c-28d4-46c7-b504-e2b8691f73e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54ac1c-28d4-46c7-b504-e2b8691f73ef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55780-8E6D-4715-8C32-AF514FF2F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7FAD4-BF5B-4A99-99E3-950F6EC91007}">
  <ds:schemaRefs>
    <ds:schemaRef ds:uri="http://schemas.openxmlformats.org/package/2006/metadata/core-properties"/>
    <ds:schemaRef ds:uri="1c7d3551-5694-4f12-b35a-d9a7a462ea4b"/>
    <ds:schemaRef ds:uri="http://purl.org/dc/dcmitype/"/>
    <ds:schemaRef ds:uri="http://schemas.microsoft.com/office/infopath/2007/PartnerControls"/>
    <ds:schemaRef ds:uri="9154ac1c-28d4-46c7-b504-e2b8691f73e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23D051-9B3F-4C27-B979-2A4046E78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9154ac1c-28d4-46c7-b504-e2b8691f73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Top ups</vt:lpstr>
      <vt:lpstr>EP + PP</vt:lpstr>
      <vt:lpstr>Apr</vt:lpstr>
      <vt:lpstr>Aug</vt:lpstr>
      <vt:lpstr>Dec</vt:lpstr>
      <vt:lpstr>EP</vt:lpstr>
      <vt:lpstr>EPtwo</vt:lpstr>
      <vt:lpstr>Feb</vt:lpstr>
      <vt:lpstr>Jan</vt:lpstr>
      <vt:lpstr>Jul</vt:lpstr>
      <vt:lpstr>Jun</vt:lpstr>
      <vt:lpstr>Mar</vt:lpstr>
      <vt:lpstr>May</vt:lpstr>
      <vt:lpstr>Nov</vt:lpstr>
      <vt:lpstr>Oct</vt:lpstr>
      <vt:lpstr>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Digby</dc:creator>
  <cp:lastModifiedBy>Michael Digby</cp:lastModifiedBy>
  <dcterms:created xsi:type="dcterms:W3CDTF">2015-06-18T08:44:01Z</dcterms:created>
  <dcterms:modified xsi:type="dcterms:W3CDTF">2017-04-12T09:49:45Z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0x010100158D8278B33D9646B12AB1635B98D01C</vt:lpwstr>
  </property>
</Properties>
</file>